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d\Desktop\Ayuntamientos\Procesos de Licitaciones\Licitaciones Gestimun\Ayuntamiento de Enriquillo\2. Aceras y Contenes\"/>
    </mc:Choice>
  </mc:AlternateContent>
  <xr:revisionPtr revIDLastSave="0" documentId="8_{2B632AFA-E09D-4623-A4F9-73779298190F}" xr6:coauthVersionLast="47" xr6:coauthVersionMax="47" xr10:uidLastSave="{00000000-0000-0000-0000-000000000000}"/>
  <bookViews>
    <workbookView xWindow="-108" yWindow="-108" windowWidth="23256" windowHeight="12456" tabRatio="868" firstSheet="9" activeTab="9" xr2:uid="{00000000-000D-0000-FFFF-FFFF00000000}"/>
  </bookViews>
  <sheets>
    <sheet name="PORTADA" sheetId="166" state="hidden" r:id="rId1"/>
    <sheet name="Subcontratos" sheetId="134" state="hidden" r:id="rId2"/>
    <sheet name="Insumos sanitarios" sheetId="156" state="hidden" r:id="rId3"/>
    <sheet name="Mano de Obra Sanitaria" sheetId="157" state="hidden" r:id="rId4"/>
    <sheet name="Analisis Sanitarios" sheetId="155" state="hidden" r:id="rId5"/>
    <sheet name="insumos ELECT" sheetId="161" state="hidden" r:id="rId6"/>
    <sheet name="mano de obra ELECT" sheetId="162" state="hidden" r:id="rId7"/>
    <sheet name="anal.elect." sheetId="160" state="hidden" r:id="rId8"/>
    <sheet name="tarifa equipo" sheetId="163" state="hidden" r:id="rId9"/>
    <sheet name="PRESUPUESTO" sheetId="16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 localSheetId="4">#REF!</definedName>
    <definedName name="___________CAL50" localSheetId="2">#REF!</definedName>
    <definedName name="___________CAL50" localSheetId="3">#REF!</definedName>
    <definedName name="___________CAL50">#REF!</definedName>
    <definedName name="___________mz125" localSheetId="4">#REF!</definedName>
    <definedName name="___________mz125" localSheetId="2">#REF!</definedName>
    <definedName name="___________mz125" localSheetId="3">#REF!</definedName>
    <definedName name="___________mz125">#REF!</definedName>
    <definedName name="___________MZ13" localSheetId="4">#REF!</definedName>
    <definedName name="___________MZ13" localSheetId="2">#REF!</definedName>
    <definedName name="___________MZ13" localSheetId="3">#REF!</definedName>
    <definedName name="___________MZ13">#REF!</definedName>
    <definedName name="___________MZ14" localSheetId="4">#REF!</definedName>
    <definedName name="___________MZ14" localSheetId="2">#REF!</definedName>
    <definedName name="___________MZ14" localSheetId="3">#REF!</definedName>
    <definedName name="___________MZ14">#REF!</definedName>
    <definedName name="___________MZ17" localSheetId="4">#REF!</definedName>
    <definedName name="___________MZ17" localSheetId="2">#REF!</definedName>
    <definedName name="___________MZ17" localSheetId="3">#REF!</definedName>
    <definedName name="___________MZ17">#REF!</definedName>
    <definedName name="_________hor210">'[2]anal term'!$G$1512</definedName>
    <definedName name="________CAL50" localSheetId="4">#REF!</definedName>
    <definedName name="________CAL50" localSheetId="2">#REF!</definedName>
    <definedName name="________CAL50" localSheetId="3">#REF!</definedName>
    <definedName name="________CAL50">#REF!</definedName>
    <definedName name="________hor210">'[2]anal term'!$G$1512</definedName>
    <definedName name="________MZ1155" localSheetId="4">#REF!</definedName>
    <definedName name="________MZ1155" localSheetId="2">#REF!</definedName>
    <definedName name="________MZ1155" localSheetId="3">#REF!</definedName>
    <definedName name="________MZ1155">#REF!</definedName>
    <definedName name="________mz125" localSheetId="4">#REF!</definedName>
    <definedName name="________mz125" localSheetId="2">#REF!</definedName>
    <definedName name="________mz125" localSheetId="3">#REF!</definedName>
    <definedName name="________mz125">#REF!</definedName>
    <definedName name="________MZ13" localSheetId="4">#REF!</definedName>
    <definedName name="________MZ13" localSheetId="2">#REF!</definedName>
    <definedName name="________MZ13" localSheetId="3">#REF!</definedName>
    <definedName name="________MZ13">#REF!</definedName>
    <definedName name="________MZ14" localSheetId="4">#REF!</definedName>
    <definedName name="________MZ14" localSheetId="2">#REF!</definedName>
    <definedName name="________MZ14" localSheetId="3">#REF!</definedName>
    <definedName name="________MZ14">#REF!</definedName>
    <definedName name="________MZ17" localSheetId="4">#REF!</definedName>
    <definedName name="________MZ17" localSheetId="2">#REF!</definedName>
    <definedName name="________MZ17" localSheetId="3">#REF!</definedName>
    <definedName name="________MZ17">#REF!</definedName>
    <definedName name="_______hor210">'[2]anal term'!$G$1512</definedName>
    <definedName name="_______MZ16" localSheetId="4">#REF!</definedName>
    <definedName name="_______MZ16" localSheetId="2">#REF!</definedName>
    <definedName name="_______MZ16" localSheetId="3">#REF!</definedName>
    <definedName name="_______MZ16">#REF!</definedName>
    <definedName name="______CAL50" localSheetId="4">#REF!</definedName>
    <definedName name="______CAL50" localSheetId="2">#REF!</definedName>
    <definedName name="______CAL50" localSheetId="3">#REF!</definedName>
    <definedName name="______CAL50">#REF!</definedName>
    <definedName name="______hor210">'[2]anal term'!$G$1512</definedName>
    <definedName name="______MZ1155" localSheetId="4">#REF!</definedName>
    <definedName name="______MZ1155" localSheetId="2">#REF!</definedName>
    <definedName name="______MZ1155" localSheetId="3">#REF!</definedName>
    <definedName name="______MZ1155">#REF!</definedName>
    <definedName name="______mz125" localSheetId="4">#REF!</definedName>
    <definedName name="______mz125" localSheetId="2">#REF!</definedName>
    <definedName name="______mz125" localSheetId="3">#REF!</definedName>
    <definedName name="______mz125">#REF!</definedName>
    <definedName name="______MZ13" localSheetId="4">#REF!</definedName>
    <definedName name="______MZ13" localSheetId="2">#REF!</definedName>
    <definedName name="______MZ13" localSheetId="3">#REF!</definedName>
    <definedName name="______MZ13">#REF!</definedName>
    <definedName name="______MZ14" localSheetId="4">#REF!</definedName>
    <definedName name="______MZ14" localSheetId="2">#REF!</definedName>
    <definedName name="______MZ14" localSheetId="3">#REF!</definedName>
    <definedName name="______MZ14">#REF!</definedName>
    <definedName name="______MZ16" localSheetId="4">#REF!</definedName>
    <definedName name="______MZ16" localSheetId="2">#REF!</definedName>
    <definedName name="______MZ16" localSheetId="3">#REF!</definedName>
    <definedName name="______MZ16">#REF!</definedName>
    <definedName name="______MZ17" localSheetId="4">#REF!</definedName>
    <definedName name="______MZ17" localSheetId="2">#REF!</definedName>
    <definedName name="______MZ17" localSheetId="3">#REF!</definedName>
    <definedName name="______MZ17">#REF!</definedName>
    <definedName name="_____CAL50" localSheetId="4">#REF!</definedName>
    <definedName name="_____CAL50" localSheetId="2">#REF!</definedName>
    <definedName name="_____CAL50" localSheetId="3">#REF!</definedName>
    <definedName name="_____CAL50">#REF!</definedName>
    <definedName name="_____hor210">'[2]anal term'!$G$1512</definedName>
    <definedName name="_____MZ1155" localSheetId="4">#REF!</definedName>
    <definedName name="_____MZ1155" localSheetId="2">#REF!</definedName>
    <definedName name="_____MZ1155" localSheetId="3">#REF!</definedName>
    <definedName name="_____MZ1155">#REF!</definedName>
    <definedName name="_____mz125" localSheetId="4">#REF!</definedName>
    <definedName name="_____mz125" localSheetId="2">#REF!</definedName>
    <definedName name="_____mz125" localSheetId="3">#REF!</definedName>
    <definedName name="_____mz125">#REF!</definedName>
    <definedName name="_____MZ13" localSheetId="4">#REF!</definedName>
    <definedName name="_____MZ13" localSheetId="2">#REF!</definedName>
    <definedName name="_____MZ13" localSheetId="3">#REF!</definedName>
    <definedName name="_____MZ13">#REF!</definedName>
    <definedName name="_____MZ14" localSheetId="4">#REF!</definedName>
    <definedName name="_____MZ14" localSheetId="2">#REF!</definedName>
    <definedName name="_____MZ14" localSheetId="3">#REF!</definedName>
    <definedName name="_____MZ14">#REF!</definedName>
    <definedName name="_____MZ16" localSheetId="4">#REF!</definedName>
    <definedName name="_____MZ16" localSheetId="2">#REF!</definedName>
    <definedName name="_____MZ16" localSheetId="3">#REF!</definedName>
    <definedName name="_____MZ16">#REF!</definedName>
    <definedName name="_____MZ17" localSheetId="4">#REF!</definedName>
    <definedName name="_____MZ17" localSheetId="2">#REF!</definedName>
    <definedName name="_____MZ17" localSheetId="3">#REF!</definedName>
    <definedName name="_____MZ17">#REF!</definedName>
    <definedName name="____hor210">'[2]anal term'!$G$1512</definedName>
    <definedName name="____MZ1155" localSheetId="4">#REF!</definedName>
    <definedName name="____MZ1155" localSheetId="2">#REF!</definedName>
    <definedName name="____MZ1155" localSheetId="3">#REF!</definedName>
    <definedName name="____MZ1155">#REF!</definedName>
    <definedName name="____MZ16" localSheetId="4">#REF!</definedName>
    <definedName name="____MZ16" localSheetId="2">#REF!</definedName>
    <definedName name="____MZ16" localSheetId="3">#REF!</definedName>
    <definedName name="____MZ16">#REF!</definedName>
    <definedName name="___CAL50" localSheetId="4">#REF!</definedName>
    <definedName name="___CAL50" localSheetId="2">#REF!</definedName>
    <definedName name="___CAL50" localSheetId="3">#REF!</definedName>
    <definedName name="___CAL50">#REF!</definedName>
    <definedName name="___hor140">#REF!</definedName>
    <definedName name="___hor210">'[2]anal term'!$G$1512</definedName>
    <definedName name="___hor280">[3]Analisis!$D$63</definedName>
    <definedName name="___MZ1155" localSheetId="4">#REF!</definedName>
    <definedName name="___MZ1155" localSheetId="2">#REF!</definedName>
    <definedName name="___MZ1155" localSheetId="3">#REF!</definedName>
    <definedName name="___MZ1155">#REF!</definedName>
    <definedName name="___mz125" localSheetId="4">#REF!</definedName>
    <definedName name="___mz125" localSheetId="2">#REF!</definedName>
    <definedName name="___mz125" localSheetId="3">#REF!</definedName>
    <definedName name="___mz125">#REF!</definedName>
    <definedName name="___MZ13" localSheetId="4">#REF!</definedName>
    <definedName name="___MZ13" localSheetId="2">#REF!</definedName>
    <definedName name="___MZ13" localSheetId="3">#REF!</definedName>
    <definedName name="___MZ13">#REF!</definedName>
    <definedName name="___MZ14" localSheetId="4">#REF!</definedName>
    <definedName name="___MZ14" localSheetId="2">#REF!</definedName>
    <definedName name="___MZ14" localSheetId="3">#REF!</definedName>
    <definedName name="___MZ14">#REF!</definedName>
    <definedName name="___MZ16" localSheetId="4">#REF!</definedName>
    <definedName name="___MZ16" localSheetId="2">#REF!</definedName>
    <definedName name="___MZ16" localSheetId="3">#REF!</definedName>
    <definedName name="___MZ16">#REF!</definedName>
    <definedName name="___MZ17" localSheetId="4">#REF!</definedName>
    <definedName name="___MZ17" localSheetId="2">#REF!</definedName>
    <definedName name="___MZ17" localSheetId="3">#REF!</definedName>
    <definedName name="___MZ17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 localSheetId="4">#REF!</definedName>
    <definedName name="__CAL50" localSheetId="2">#REF!</definedName>
    <definedName name="__CAL50" localSheetId="3">#REF!</definedName>
    <definedName name="__CAL50">#REF!</definedName>
    <definedName name="__hor140">#REF!</definedName>
    <definedName name="__hor210">'[2]anal term'!$G$1512</definedName>
    <definedName name="__hor280">[6]Analisis!$D$63</definedName>
    <definedName name="__MZ1155" localSheetId="4">#REF!</definedName>
    <definedName name="__MZ1155" localSheetId="2">#REF!</definedName>
    <definedName name="__MZ1155" localSheetId="3">#REF!</definedName>
    <definedName name="__MZ1155">#REF!</definedName>
    <definedName name="__mz125" localSheetId="4">#REF!</definedName>
    <definedName name="__mz125" localSheetId="2">#REF!</definedName>
    <definedName name="__mz125" localSheetId="3">#REF!</definedName>
    <definedName name="__mz125">#REF!</definedName>
    <definedName name="__MZ13" localSheetId="4">#REF!</definedName>
    <definedName name="__MZ13" localSheetId="2">#REF!</definedName>
    <definedName name="__MZ13" localSheetId="3">#REF!</definedName>
    <definedName name="__MZ13">#REF!</definedName>
    <definedName name="__MZ14" localSheetId="4">#REF!</definedName>
    <definedName name="__MZ14" localSheetId="2">#REF!</definedName>
    <definedName name="__MZ14" localSheetId="3">#REF!</definedName>
    <definedName name="__MZ14">#REF!</definedName>
    <definedName name="__MZ16" localSheetId="4">#REF!</definedName>
    <definedName name="__MZ16" localSheetId="2">#REF!</definedName>
    <definedName name="__MZ16" localSheetId="3">#REF!</definedName>
    <definedName name="__MZ16">#REF!</definedName>
    <definedName name="__MZ17" localSheetId="4">#REF!</definedName>
    <definedName name="__MZ17" localSheetId="2">#REF!</definedName>
    <definedName name="__MZ17" localSheetId="3">#REF!</definedName>
    <definedName name="__MZ17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 localSheetId="4">#REF!</definedName>
    <definedName name="_CAL50" localSheetId="2">#REF!</definedName>
    <definedName name="_CAL50" localSheetId="3">#REF!</definedName>
    <definedName name="_CAL50">#REF!</definedName>
    <definedName name="_CTC220">#REF!</definedName>
    <definedName name="_F">[5]A!#REF!</definedName>
    <definedName name="_Fill" hidden="1">#REF!</definedName>
    <definedName name="_xlnm._FilterDatabase" localSheetId="7" hidden="1">'anal.elect.'!$A$3:$G$477</definedName>
    <definedName name="_xlnm._FilterDatabase" localSheetId="4" hidden="1">'Analisis Sanitarios'!$A$6:$F$7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Z1155" localSheetId="4">#REF!</definedName>
    <definedName name="_MZ1155" localSheetId="2">#REF!</definedName>
    <definedName name="_MZ1155" localSheetId="3">#REF!</definedName>
    <definedName name="_MZ1155">#REF!</definedName>
    <definedName name="_mz125" localSheetId="4">#REF!</definedName>
    <definedName name="_mz125" localSheetId="2">#REF!</definedName>
    <definedName name="_mz125" localSheetId="3">#REF!</definedName>
    <definedName name="_mz125">#REF!</definedName>
    <definedName name="_MZ13" localSheetId="4">#REF!</definedName>
    <definedName name="_MZ13" localSheetId="2">#REF!</definedName>
    <definedName name="_MZ13" localSheetId="3">#REF!</definedName>
    <definedName name="_MZ13">#REF!</definedName>
    <definedName name="_MZ14" localSheetId="4">#REF!</definedName>
    <definedName name="_MZ14" localSheetId="2">#REF!</definedName>
    <definedName name="_MZ14" localSheetId="3">#REF!</definedName>
    <definedName name="_MZ14">#REF!</definedName>
    <definedName name="_MZ16" localSheetId="4">#REF!</definedName>
    <definedName name="_MZ16" localSheetId="2">#REF!</definedName>
    <definedName name="_MZ16" localSheetId="3">#REF!</definedName>
    <definedName name="_MZ16">#REF!</definedName>
    <definedName name="_MZ17" localSheetId="4">#REF!</definedName>
    <definedName name="_MZ17" localSheetId="2">#REF!</definedName>
    <definedName name="_MZ17" localSheetId="3">#REF!</definedName>
    <definedName name="_MZ17">#REF!</definedName>
    <definedName name="_o">#REF!</definedName>
    <definedName name="_Order1" hidden="1">255</definedName>
    <definedName name="_Order2" hidden="1">255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[10]analisis!$G$2432</definedName>
    <definedName name="_pl12">[10]analisis!$G$2477</definedName>
    <definedName name="_pl316">[10]analisis!$G$2513</definedName>
    <definedName name="_pl38">[10]analisis!$G$2486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[11]Sheet4!$E$1:$E$65536</definedName>
    <definedName name="_pu5">[11]Sheet5!$E$1:$E$65536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[12]Precio!$F$12</definedName>
    <definedName name="_VAR38">[12]Precio!$F$11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[13]Ebanisteria!$L$4</definedName>
    <definedName name="A_IMPRESIÓN_IM">#REF!</definedName>
    <definedName name="aa">#REF!</definedName>
    <definedName name="aa_2">"$#REF!.$B$109"</definedName>
    <definedName name="aa_3">"$#REF!.$B$109"</definedName>
    <definedName name="AAG">[12]Precio!$F$20</definedName>
    <definedName name="ABULT">#REF!</definedName>
    <definedName name="AC" localSheetId="4">#REF!</definedName>
    <definedName name="AC" localSheetId="2">#REF!</definedName>
    <definedName name="AC" localSheetId="3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 localSheetId="4">#REF!</definedName>
    <definedName name="ACERO" localSheetId="2">#REF!</definedName>
    <definedName name="ACERO" localSheetId="3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 localSheetId="4">#REF!</definedName>
    <definedName name="ADAMIOSIN" localSheetId="2">#REF!</definedName>
    <definedName name="ADAMIOSIN" localSheetId="3">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G">[12]Precio!$F$21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[12]Precio!$F$16</definedName>
    <definedName name="ALAM18">[12]Precio!$F$15</definedName>
    <definedName name="alambi">#REF!</definedName>
    <definedName name="alambii">#REF!</definedName>
    <definedName name="alambiii">#REF!</definedName>
    <definedName name="alambiiii">#REF!</definedName>
    <definedName name="ALAMBRE" localSheetId="4">#REF!</definedName>
    <definedName name="ALAMBRE" localSheetId="2">#REF!</definedName>
    <definedName name="ALAMBRE" localSheetId="3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 localSheetId="4">#REF!</definedName>
    <definedName name="ALAMBRED" localSheetId="2">#REF!</definedName>
    <definedName name="ALAMBRED" localSheetId="3">#REF!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ñil_Dia">[22]MO!$C$14</definedName>
    <definedName name="ALBANIL2">'[25]M.O.'!$C$12</definedName>
    <definedName name="ALBANIL3">#REF!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 localSheetId="4">#REF!</definedName>
    <definedName name="andamiosin" localSheetId="2">#REF!</definedName>
    <definedName name="andamiosin" localSheetId="3">#REF!</definedName>
    <definedName name="andamiosin">#REF!</definedName>
    <definedName name="ANDAMIOSPLAF" localSheetId="4">#REF!</definedName>
    <definedName name="ANDAMIOSPLAF" localSheetId="2">#REF!</definedName>
    <definedName name="ANDAMIOSPLAF" localSheetId="3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 localSheetId="4">#REF!</definedName>
    <definedName name="ARENAF" localSheetId="2">#REF!</definedName>
    <definedName name="ARENAF" localSheetId="3">#REF!</definedName>
    <definedName name="ARENAF">#REF!</definedName>
    <definedName name="ARENAFINA" localSheetId="4">#REF!</definedName>
    <definedName name="ARENAFINA" localSheetId="2">#REF!</definedName>
    <definedName name="ARENAFINA" localSheetId="3">#REF!</definedName>
    <definedName name="ARENAFINA">#REF!</definedName>
    <definedName name="ARENAG" localSheetId="4">#REF!</definedName>
    <definedName name="ARENAG" localSheetId="2">#REF!</definedName>
    <definedName name="ARENAG" localSheetId="3">#REF!</definedName>
    <definedName name="ARENAG">#REF!</definedName>
    <definedName name="ARENAGRUESA" localSheetId="4">#REF!</definedName>
    <definedName name="ARENAGRUESA" localSheetId="2">#REF!</definedName>
    <definedName name="ARENAGRUESA" localSheetId="3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ÑERAHFBCA">#REF!</definedName>
    <definedName name="BANERAHFBCAPVC">#REF!</definedName>
    <definedName name="BAÑERAHFCOL">#REF!</definedName>
    <definedName name="BANERAHFCOLPVC">#REF!</definedName>
    <definedName name="BAÑERALIV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[10]analisis!$G$2860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 localSheetId="4">#REF!</definedName>
    <definedName name="BLOCK0.10M" localSheetId="2">#REF!</definedName>
    <definedName name="BLOCK0.10M" localSheetId="3">#REF!</definedName>
    <definedName name="BLOCK0.10M">#REF!</definedName>
    <definedName name="BLOCK0.15M" localSheetId="4">#REF!</definedName>
    <definedName name="BLOCK0.15M" localSheetId="2">#REF!</definedName>
    <definedName name="BLOCK0.15M" localSheetId="3">#REF!</definedName>
    <definedName name="BLOCK0.15M">#REF!</definedName>
    <definedName name="BLOCK0.20M" localSheetId="4">#REF!</definedName>
    <definedName name="BLOCK0.20M" localSheetId="2">#REF!</definedName>
    <definedName name="BLOCK0.20M" localSheetId="3">#REF!</definedName>
    <definedName name="BLOCK0.20M">#REF!</definedName>
    <definedName name="BLOCK0.30M" localSheetId="4">#REF!</definedName>
    <definedName name="BLOCK0.30M" localSheetId="2">#REF!</definedName>
    <definedName name="BLOCK0.30M" localSheetId="3">#REF!</definedName>
    <definedName name="BLOCK0.30M">#REF!</definedName>
    <definedName name="BLOCK10">#REF!</definedName>
    <definedName name="BLOCK12">#REF!</definedName>
    <definedName name="block4" localSheetId="4">#REF!</definedName>
    <definedName name="block4" localSheetId="2">#REF!</definedName>
    <definedName name="block4" localSheetId="3">#REF!</definedName>
    <definedName name="block4">#REF!</definedName>
    <definedName name="BLOCK4RUST">#REF!</definedName>
    <definedName name="BLOCK5">#REF!</definedName>
    <definedName name="BLOCK6" localSheetId="4">#REF!</definedName>
    <definedName name="BLOCK6" localSheetId="2">#REF!</definedName>
    <definedName name="BLOCK6" localSheetId="3">#REF!</definedName>
    <definedName name="BLOCK6">#REF!</definedName>
    <definedName name="BLOCK640">#REF!</definedName>
    <definedName name="BLOCK6VIO2">#REF!</definedName>
    <definedName name="block8" localSheetId="4">#REF!</definedName>
    <definedName name="block8" localSheetId="2">#REF!</definedName>
    <definedName name="block8" localSheetId="3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 localSheetId="4">#REF!</definedName>
    <definedName name="BLOCKCA" localSheetId="2">#REF!</definedName>
    <definedName name="BLOCKCA" localSheetId="3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 localSheetId="4">#REF!</definedName>
    <definedName name="cal" localSheetId="2">#REF!</definedName>
    <definedName name="cal" localSheetId="3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 localSheetId="4">#REF!</definedName>
    <definedName name="CALICHE" localSheetId="2">#REF!</definedName>
    <definedName name="CALICHE" localSheetId="3">#REF!</definedName>
    <definedName name="CALICHE">#REF!</definedName>
    <definedName name="CALICHEB" localSheetId="4">#REF!</definedName>
    <definedName name="CALICHEB" localSheetId="2">#REF!</definedName>
    <definedName name="CALICHEB" localSheetId="3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'[34]Cargas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[35]EQUIPOS!$D$13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[36]MO!$C$21</definedName>
    <definedName name="Carpintero_2da">[36]MO!$C$20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 localSheetId="4">#REF!</definedName>
    <definedName name="CAVOSC" localSheetId="2">#REF!</definedName>
    <definedName name="CAVOSC" localSheetId="3">#REF!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[12]Precio!$F$9</definedName>
    <definedName name="CEMCPVC14">#REF!</definedName>
    <definedName name="CEMCPVCPINTA">#REF!</definedName>
    <definedName name="cemento">'[37]PRE Desvio Alcant.  Potable'!$I$49</definedName>
    <definedName name="cemento.pañete">'[38]Insumos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 localSheetId="4">#REF!</definedName>
    <definedName name="CEMENTOG" localSheetId="2">#REF!</definedName>
    <definedName name="CEMENTOG" localSheetId="3">#REF!</definedName>
    <definedName name="CEMENTOG">#REF!</definedName>
    <definedName name="cementogris">[18]MATERIALES!$G$17</definedName>
    <definedName name="CEMENTOP" localSheetId="4">#REF!</definedName>
    <definedName name="CEMENTOP" localSheetId="2">#REF!</definedName>
    <definedName name="CEMENTOP" localSheetId="3">#REF!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 localSheetId="4">#REF!</definedName>
    <definedName name="CERAMICAPAREDP" localSheetId="2">#REF!</definedName>
    <definedName name="CERAMICAPAREDP" localSheetId="3">#REF!</definedName>
    <definedName name="CERAMICAPAREDP">#REF!</definedName>
    <definedName name="CERAMICAPAREDS" localSheetId="4">#REF!</definedName>
    <definedName name="CERAMICAPAREDS" localSheetId="2">#REF!</definedName>
    <definedName name="CERAMICAPAREDS" localSheetId="3">#REF!</definedName>
    <definedName name="CERAMICAPAREDS">#REF!</definedName>
    <definedName name="CERAMICAPISOP" localSheetId="4">#REF!</definedName>
    <definedName name="CERAMICAPISOP" localSheetId="2">#REF!</definedName>
    <definedName name="CERAMICAPISOP" localSheetId="3">#REF!</definedName>
    <definedName name="CERAMICAPISOP">#REF!</definedName>
    <definedName name="CERAMICAPISOS" localSheetId="4">#REF!</definedName>
    <definedName name="CERAMICAPISOS" localSheetId="2">#REF!</definedName>
    <definedName name="CERAMICAPISOS" localSheetId="3">#REF!</definedName>
    <definedName name="CERAMICAPISOS">#REF!</definedName>
    <definedName name="ceramicapp" localSheetId="4">#REF!</definedName>
    <definedName name="ceramicapp" localSheetId="2">#REF!</definedName>
    <definedName name="ceramicapp" localSheetId="3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 localSheetId="4">#REF!</definedName>
    <definedName name="CLAVOSAC" localSheetId="2">#REF!</definedName>
    <definedName name="CLAVOSAC" localSheetId="3">#REF!</definedName>
    <definedName name="CLAVOSAC">#REF!</definedName>
    <definedName name="CLAVOSACERO" localSheetId="4">#REF!</definedName>
    <definedName name="CLAVOSACERO" localSheetId="2">#REF!</definedName>
    <definedName name="CLAVOSACERO" localSheetId="3">#REF!</definedName>
    <definedName name="CLAVOSACERO">#REF!</definedName>
    <definedName name="CLAVOSCORRIENTES" localSheetId="4">#REF!</definedName>
    <definedName name="CLAVOSCORRIENTES" localSheetId="2">#REF!</definedName>
    <definedName name="CLAVOSCORRIENTES" localSheetId="3">#REF!</definedName>
    <definedName name="CLAVOSCORRIENTES">#REF!</definedName>
    <definedName name="CLAVOZINC">[39]INS!$D$767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'[38]Costos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 localSheetId="4">#REF!</definedName>
    <definedName name="COMPENS" localSheetId="2">#REF!</definedName>
    <definedName name="COMPENS" localSheetId="3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[10]analisis!$G$773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[35]EQUIPOS!$D$27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[40]ADDENDA!#REF!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[41]Presup.!#REF!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[42]Insumos!$I$3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 localSheetId="4">#REF!</definedName>
    <definedName name="DERRCEMBLANCO" localSheetId="2">#REF!</definedName>
    <definedName name="DERRCEMBLANCO" localSheetId="3">#REF!</definedName>
    <definedName name="DERRCEMBLANCO">#REF!</definedName>
    <definedName name="DERRCEMGRIS" localSheetId="4">#REF!</definedName>
    <definedName name="DERRCEMGRIS" localSheetId="2">#REF!</definedName>
    <definedName name="DERRCEMGRIS" localSheetId="3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 localSheetId="4">#REF!</definedName>
    <definedName name="DERRETIDOBLANCO" localSheetId="2">#REF!</definedName>
    <definedName name="DERRETIDOBLANCO" localSheetId="3">#REF!</definedName>
    <definedName name="DERRETIDOBLANCO">#REF!</definedName>
    <definedName name="DERRETIDOCOLOR">#REF!</definedName>
    <definedName name="derretidocrema" localSheetId="4">#REF!</definedName>
    <definedName name="derretidocrema" localSheetId="2">#REF!</definedName>
    <definedName name="derretidocrema" localSheetId="3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 localSheetId="4">#REF!</definedName>
    <definedName name="DOLAR" localSheetId="2">#REF!</definedName>
    <definedName name="DOLAR" localSheetId="3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 localSheetId="4">#REF!</definedName>
    <definedName name="E" localSheetId="2">#REF!</definedName>
    <definedName name="E" localSheetId="3">#REF!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'[43]Los Ángeles (Fase II)'!$A$749:$F$802</definedName>
    <definedName name="el_no_al_printer">'[43]Los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 localSheetId="0">[44]Ana!$M$452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 localSheetId="7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[40]ADDENDA!#REF!</definedName>
    <definedName name="Extracción_IM">#REF!</definedName>
    <definedName name="_xlnm.Extract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dcementogris">#REF!</definedName>
    <definedName name="fe" localSheetId="4">#REF!</definedName>
    <definedName name="fe" localSheetId="2">#REF!</definedName>
    <definedName name="fe" localSheetId="3">#REF!</definedName>
    <definedName name="fe">#REF!</definedName>
    <definedName name="fe." localSheetId="4">#REF!</definedName>
    <definedName name="fe." localSheetId="2">#REF!</definedName>
    <definedName name="fe." localSheetId="3">#REF!</definedName>
    <definedName name="fe.">#REF!</definedName>
    <definedName name="FEa">'[46]V.Tierras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 localSheetId="4">#REF!</definedName>
    <definedName name="FREGDOBLE" localSheetId="2">#REF!</definedName>
    <definedName name="FREGDOBLE" localSheetId="3">#REF!</definedName>
    <definedName name="FREGDOBLE">#REF!</definedName>
    <definedName name="FREGRADERODOBLE" localSheetId="4">#REF!</definedName>
    <definedName name="FREGRADERODOBLE" localSheetId="2">#REF!</definedName>
    <definedName name="FREGRADERODOBLE" localSheetId="3">#REF!</definedName>
    <definedName name="FREGRADERODOBLE">#REF!</definedName>
    <definedName name="FZ" localSheetId="4">#REF!</definedName>
    <definedName name="FZ" localSheetId="2">#REF!</definedName>
    <definedName name="FZ" localSheetId="3">#REF!</definedName>
    <definedName name="FZ">#REF!</definedName>
    <definedName name="G">#REF!</definedName>
    <definedName name="gabinetesandiroba">[47]INSUMOS!$F$303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 localSheetId="4">#REF!</definedName>
    <definedName name="GASOI" localSheetId="2">#REF!</definedName>
    <definedName name="GASOI" localSheetId="3">#REF!</definedName>
    <definedName name="GASOI">#REF!</definedName>
    <definedName name="GASOIL">#REF!</definedName>
    <definedName name="GASOLINA" localSheetId="0">[44]Ins!$E$419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 localSheetId="4">#REF!</definedName>
    <definedName name="GRAVA" localSheetId="2">#REF!</definedName>
    <definedName name="GRAVA" localSheetId="3">#REF!</definedName>
    <definedName name="GRAVA">#REF!</definedName>
    <definedName name="Grava_de_1_2__3_4__Clasificada">[4]Insumos!#REF!</definedName>
    <definedName name="GRAVAL" localSheetId="4">#REF!</definedName>
    <definedName name="GRAVAL" localSheetId="2">#REF!</definedName>
    <definedName name="GRAVAL" localSheetId="3">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[48]Analisis!$J$2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 localSheetId="0">[44]Ana!$M$5100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 localSheetId="4">#REF!</definedName>
    <definedName name="HGON100" localSheetId="2">#REF!</definedName>
    <definedName name="HGON100" localSheetId="3">#REF!</definedName>
    <definedName name="HGON100">#REF!</definedName>
    <definedName name="HGON140" localSheetId="4">#REF!</definedName>
    <definedName name="HGON140" localSheetId="2">#REF!</definedName>
    <definedName name="HGON140" localSheetId="3">#REF!</definedName>
    <definedName name="HGON140">#REF!</definedName>
    <definedName name="HGON180" localSheetId="4">#REF!</definedName>
    <definedName name="HGON180" localSheetId="2">#REF!</definedName>
    <definedName name="HGON180" localSheetId="3">#REF!</definedName>
    <definedName name="HGON180">#REF!</definedName>
    <definedName name="HGON210" localSheetId="4">#REF!</definedName>
    <definedName name="HGON210" localSheetId="2">#REF!</definedName>
    <definedName name="HGON210" localSheetId="3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 localSheetId="4">#REF!</definedName>
    <definedName name="HINDUSTRIAL100" localSheetId="2">#REF!</definedName>
    <definedName name="HINDUSTRIAL100" localSheetId="3">#REF!</definedName>
    <definedName name="HINDUSTRIAL100">#REF!</definedName>
    <definedName name="HINDUSTRIAL140" localSheetId="4">#REF!</definedName>
    <definedName name="HINDUSTRIAL140" localSheetId="2">#REF!</definedName>
    <definedName name="HINDUSTRIAL140" localSheetId="3">#REF!</definedName>
    <definedName name="HINDUSTRIAL140">#REF!</definedName>
    <definedName name="HINDUSTRIAL180" localSheetId="4">#REF!</definedName>
    <definedName name="HINDUSTRIAL180" localSheetId="2">#REF!</definedName>
    <definedName name="HINDUSTRIAL180" localSheetId="3">#REF!</definedName>
    <definedName name="HINDUSTRIAL180">#REF!</definedName>
    <definedName name="HINDUSTRIAL210" localSheetId="4">#REF!</definedName>
    <definedName name="HINDUSTRIAL210" localSheetId="2">#REF!</definedName>
    <definedName name="HINDUSTRIAL210" localSheetId="3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 localSheetId="4">#REF!</definedName>
    <definedName name="horind100" localSheetId="2">#REF!</definedName>
    <definedName name="horind100" localSheetId="3">#REF!</definedName>
    <definedName name="horind100">#REF!</definedName>
    <definedName name="horind140" localSheetId="4">#REF!</definedName>
    <definedName name="horind140" localSheetId="2">#REF!</definedName>
    <definedName name="horind140" localSheetId="3">#REF!</definedName>
    <definedName name="horind140">#REF!</definedName>
    <definedName name="horind180" localSheetId="4">#REF!</definedName>
    <definedName name="horind180" localSheetId="2">#REF!</definedName>
    <definedName name="horind180" localSheetId="3">#REF!</definedName>
    <definedName name="horind180">#REF!</definedName>
    <definedName name="horind210" localSheetId="4">#REF!</definedName>
    <definedName name="horind210" localSheetId="2">#REF!</definedName>
    <definedName name="horind210" localSheetId="3">#REF!</definedName>
    <definedName name="horind210">#REF!</definedName>
    <definedName name="horm.1.2">'[29]Ana. Horm mexc mort'!$D$70</definedName>
    <definedName name="horm.1.3">'[38]Ana. Horm mexc mort'!$D$53</definedName>
    <definedName name="horm.1.3.5">'[38]Ana.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'[39]HORM.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[49]Insumos!$B$71:$D$71</definedName>
    <definedName name="Hormigón_Industrial_210_Kg_cm2_1">[49]Insumos!$B$71:$D$71</definedName>
    <definedName name="Hormigón_Industrial_210_Kg_cm2_2">[49]Insumos!$B$71:$D$71</definedName>
    <definedName name="Hormigón_Industrial_210_Kg_cm2_3">[49]Insumos!$B$71:$D$71</definedName>
    <definedName name="Hormigón_Industrial_240_Kg_cm2">[4]Insumos!#REF!</definedName>
    <definedName name="HORMIGON100" localSheetId="4">#REF!</definedName>
    <definedName name="HORMIGON100" localSheetId="2">#REF!</definedName>
    <definedName name="HORMIGON100" localSheetId="3">#REF!</definedName>
    <definedName name="HORMIGON100">#REF!</definedName>
    <definedName name="hormigon140" localSheetId="4">#REF!</definedName>
    <definedName name="hormigon140" localSheetId="2">#REF!</definedName>
    <definedName name="hormigon140" localSheetId="3">#REF!</definedName>
    <definedName name="hormigon140">#REF!</definedName>
    <definedName name="hormigon180" localSheetId="4">#REF!</definedName>
    <definedName name="hormigon180" localSheetId="2">#REF!</definedName>
    <definedName name="hormigon180" localSheetId="3">#REF!</definedName>
    <definedName name="hormigon180">#REF!</definedName>
    <definedName name="hormigon210" localSheetId="4">#REF!</definedName>
    <definedName name="hormigon210" localSheetId="2">#REF!</definedName>
    <definedName name="hormigon210" localSheetId="3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mocolocjuntas">[47]INSUMOS!$F$261</definedName>
    <definedName name="IMPERM.">#REF!</definedName>
    <definedName name="IMPEST">#REF!</definedName>
    <definedName name="IMPREV" localSheetId="4">#REF!</definedName>
    <definedName name="IMPREV" localSheetId="2">#REF!</definedName>
    <definedName name="IMPREV" localSheetId="3">#REF!</definedName>
    <definedName name="IMPREV">#REF!</definedName>
    <definedName name="IMPREV.">#REF!</definedName>
    <definedName name="IMPREVISTO" localSheetId="4">#REF!</definedName>
    <definedName name="IMPREVISTO" localSheetId="2">#REF!</definedName>
    <definedName name="IMPREVISTO" localSheetId="3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CREM" localSheetId="4">#REF!</definedName>
    <definedName name="INCREM" localSheetId="2">#REF!</definedName>
    <definedName name="INCREM" localSheetId="3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 localSheetId="4">#REF!</definedName>
    <definedName name="inodorosimplex" localSheetId="2">#REF!</definedName>
    <definedName name="inodorosimplex" localSheetId="3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abo">#REF!</definedName>
    <definedName name="ITBIS" localSheetId="4">#REF!</definedName>
    <definedName name="ITBIS" localSheetId="2">#REF!</definedName>
    <definedName name="ITBIS" localSheetId="3">#REF!</definedName>
    <definedName name="ITBIS">#REF!</definedName>
    <definedName name="ITBS" localSheetId="4">#REF!</definedName>
    <definedName name="ITBS" localSheetId="2">#REF!</definedName>
    <definedName name="ITBS" localSheetId="3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 localSheetId="4">#REF!</definedName>
    <definedName name="LAVADEROSENCILLO" localSheetId="2">#REF!</definedName>
    <definedName name="LAVADEROSENCILLO" localSheetId="3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 localSheetId="4">#REF!</definedName>
    <definedName name="LMEMBAJADOR" localSheetId="2">#REF!</definedName>
    <definedName name="LMEMBAJADOR" localSheetId="3">#REF!</definedName>
    <definedName name="LMEMBAJADOR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[50]Materiales!$K$15</definedName>
    <definedName name="LUZCENITAL">#REF!</definedName>
    <definedName name="LUZPARQEMT">#REF!</definedName>
    <definedName name="m">[51]Insumos!$I$3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 localSheetId="4">#REF!</definedName>
    <definedName name="MADERA" localSheetId="2">#REF!</definedName>
    <definedName name="MADERA" localSheetId="3">#REF!</definedName>
    <definedName name="MADERA">#REF!</definedName>
    <definedName name="Madera_2">#N/A</definedName>
    <definedName name="Madera_3">#N/A</definedName>
    <definedName name="Madera_P2">#REF!</definedName>
    <definedName name="MADERAC" localSheetId="4">#REF!</definedName>
    <definedName name="MADERAC" localSheetId="2">#REF!</definedName>
    <definedName name="MADERAC" localSheetId="3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[52]MANT.TRANSITO!$H$27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 localSheetId="4">#REF!</definedName>
    <definedName name="marmolpiso" localSheetId="2">#REF!</definedName>
    <definedName name="marmolpiso" localSheetId="3">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 localSheetId="4">#REF!</definedName>
    <definedName name="MEZCLA125" localSheetId="2">#REF!</definedName>
    <definedName name="MEZCLA125" localSheetId="3">#REF!</definedName>
    <definedName name="MEZCLA125">#REF!</definedName>
    <definedName name="MEZCLA13" localSheetId="4">#REF!</definedName>
    <definedName name="MEZCLA13" localSheetId="2">#REF!</definedName>
    <definedName name="MEZCLA13" localSheetId="3">#REF!</definedName>
    <definedName name="MEZCLA13">#REF!</definedName>
    <definedName name="MEZCLA14" localSheetId="4">#REF!</definedName>
    <definedName name="MEZCLA14" localSheetId="2">#REF!</definedName>
    <definedName name="MEZCLA14" localSheetId="3">#REF!</definedName>
    <definedName name="MEZCLA14">#REF!</definedName>
    <definedName name="MezclaAntillana">#REF!</definedName>
    <definedName name="MEZCLANATILLA" localSheetId="4">#REF!</definedName>
    <definedName name="MEZCLANATILLA" localSheetId="2">#REF!</definedName>
    <definedName name="MEZCLANATILLA" localSheetId="3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[53]MOJornal!$A$7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 localSheetId="4">#REF!</definedName>
    <definedName name="mosbotichinorojo" localSheetId="2">#REF!</definedName>
    <definedName name="mosbotichinorojo" localSheetId="3">#REF!</definedName>
    <definedName name="mosbotichinorojo">#REF!</definedName>
    <definedName name="MOTONIVELADORA">#REF!</definedName>
    <definedName name="MOTRAMPA">#REF!</definedName>
    <definedName name="MOV_7">'[54]mov. de tierra'!#REF!</definedName>
    <definedName name="MOZABALETAPISO">#REF!</definedName>
    <definedName name="MOZABALETATECHO">#REF!</definedName>
    <definedName name="mozaicoFG" localSheetId="4">#REF!</definedName>
    <definedName name="mozaicoFG" localSheetId="2">#REF!</definedName>
    <definedName name="mozaicoFG" localSheetId="3">#REF!</definedName>
    <definedName name="mozaicoFG">#REF!</definedName>
    <definedName name="MTG">'[55]m.t C'!$I$18</definedName>
    <definedName name="MULTI">[5]A!#REF!</definedName>
    <definedName name="MURO30">#REF!</definedName>
    <definedName name="MUROBOVEDA12A10X2AD">#REF!</definedName>
    <definedName name="MV">[41]Presup.!#REF!</definedName>
    <definedName name="MZNATILLA" localSheetId="4">#REF!</definedName>
    <definedName name="MZNATILLA" localSheetId="2">#REF!</definedName>
    <definedName name="MZNATILLA" localSheetId="3">#REF!</definedName>
    <definedName name="MZNATILLA">#REF!</definedName>
    <definedName name="NADA" localSheetId="4">#REF!</definedName>
    <definedName name="NADA" localSheetId="2">#REF!</definedName>
    <definedName name="NADA" localSheetId="3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[56]MO!$D$11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LE_LINK2" localSheetId="3">'Mano de Obra Sanitaria'!$D$12</definedName>
    <definedName name="omencofrado">'[20]O.M. y Salarios'!#REF!</definedName>
    <definedName name="OP">[5]A!#REF!</definedName>
    <definedName name="opala">[50]Salarios!$D$16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[39]SALARIOS!$C$10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 localSheetId="4">#REF!</definedName>
    <definedName name="ORINALSENCILLO" localSheetId="2">#REF!</definedName>
    <definedName name="ORINALSENCILLO" localSheetId="3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[50]Salarios!$D$14</definedName>
    <definedName name="OXIDOROJO">#REF!</definedName>
    <definedName name="OXIGENO_CIL">#REF!</definedName>
    <definedName name="P" localSheetId="4">#REF!</definedName>
    <definedName name="P" localSheetId="2">#REF!</definedName>
    <definedName name="P" localSheetId="3">#REF!</definedName>
    <definedName name="P">#REF!</definedName>
    <definedName name="P.U.">#REF!</definedName>
    <definedName name="P.U.Amercoat_385ASA">[57]Insumos!$E$15</definedName>
    <definedName name="P.U.Amercoat_385ASA_2">#N/A</definedName>
    <definedName name="P.U.Amercoat_385ASA_3">#N/A</definedName>
    <definedName name="P.U.Dimecote9">[57]Insumos!$E$13</definedName>
    <definedName name="P.U.Dimecote9_2">#N/A</definedName>
    <definedName name="P.U.Dimecote9_3">#N/A</definedName>
    <definedName name="P.U.Thinner1000">[57]Insumos!$E$12</definedName>
    <definedName name="P.U.Thinner1000_2">#N/A</definedName>
    <definedName name="P.U.Thinner1000_3">#N/A</definedName>
    <definedName name="P.U.Urethane_Acrilico">[57]Insumos!$E$17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 localSheetId="4">#REF!</definedName>
    <definedName name="pd" localSheetId="2">#REF!</definedName>
    <definedName name="pd" localSheetId="3">#REF!</definedName>
    <definedName name="pd">#REF!</definedName>
    <definedName name="PDa">'[46]V.Tierras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[39]INS!$D$770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 localSheetId="4">#REF!</definedName>
    <definedName name="PITACRILLICA" localSheetId="2">#REF!</definedName>
    <definedName name="PITACRILLICA" localSheetId="3">#REF!</definedName>
    <definedName name="PITACRILLICA">#REF!</definedName>
    <definedName name="PITECONOMICA" localSheetId="4">#REF!</definedName>
    <definedName name="PITECONOMICA" localSheetId="2">#REF!</definedName>
    <definedName name="PITECONOMICA" localSheetId="3">#REF!</definedName>
    <definedName name="PITECONOMICA">#REF!</definedName>
    <definedName name="pitesmalte" localSheetId="4">#REF!</definedName>
    <definedName name="pitesmalte" localSheetId="2">#REF!</definedName>
    <definedName name="pitesmalte" localSheetId="3">#REF!</definedName>
    <definedName name="pitesmalte">#REF!</definedName>
    <definedName name="PITMANTENIMIENTO" localSheetId="4">#REF!</definedName>
    <definedName name="PITMANTENIMIENTO" localSheetId="2">#REF!</definedName>
    <definedName name="PITMANTENIMIENTO" localSheetId="3">#REF!</definedName>
    <definedName name="PITMANTENIMIENTO">#REF!</definedName>
    <definedName name="pitoxidoverde" localSheetId="4">#REF!</definedName>
    <definedName name="pitoxidoverde" localSheetId="2">#REF!</definedName>
    <definedName name="pitoxidoverde" localSheetId="3">#REF!</definedName>
    <definedName name="pitoxidoverde">#REF!</definedName>
    <definedName name="PITSATINADA" localSheetId="4">#REF!</definedName>
    <definedName name="PITSATINADA" localSheetId="2">#REF!</definedName>
    <definedName name="PITSATINADA" localSheetId="3">#REF!</definedName>
    <definedName name="PITSATINADA">#REF!</definedName>
    <definedName name="pitsemiglos" localSheetId="4">#REF!</definedName>
    <definedName name="pitsemiglos" localSheetId="2">#REF!</definedName>
    <definedName name="pitsemiglos" localSheetId="3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 localSheetId="0">[44]Herram!$E$26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 localSheetId="4">#REF!</definedName>
    <definedName name="PLYWOOD" localSheetId="2">#REF!</definedName>
    <definedName name="PLYWOOD" localSheetId="3">#REF!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[58]Presupuesto!#REF!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'[59]med.mov.de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[60]Precios!$A$4:$F$1576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_xlnm.Print_Area" localSheetId="7">'anal.elect.'!$A$1:$F$477</definedName>
    <definedName name="_xlnm.Print_Area" localSheetId="4">'Analisis Sanitarios'!$A$1:$F$617</definedName>
    <definedName name="_xlnm.Print_Area" localSheetId="5">'insumos ELECT'!$A$1:$E$220</definedName>
    <definedName name="_xlnm.Print_Area" localSheetId="2">'Insumos sanitarios'!$A$1:$D$181</definedName>
    <definedName name="_xlnm.Print_Area" localSheetId="3">'Mano de Obra Sanitaria'!$A$1:$D$192</definedName>
    <definedName name="_xlnm.Print_Area" localSheetId="0">PORTADA!$A$1:$C$37</definedName>
    <definedName name="_xlnm.Print_Area" localSheetId="9">PRESUPUESTO!$A$1:$G$86</definedName>
    <definedName name="_xlnm.Print_Area" localSheetId="1">Subcontratos!$A$1:$D$98</definedName>
    <definedName name="_xlnm.Print_Area" localSheetId="8">'tarifa equipo'!$A$1:$H$86</definedName>
    <definedName name="_xlnm.Print_Area">#REF!</definedName>
    <definedName name="PRINT_AREA_MI">#REF!</definedName>
    <definedName name="_xlnm.Print_Titles" localSheetId="7">'anal.elect.'!$1:$5</definedName>
    <definedName name="_xlnm.Print_Titles" localSheetId="4">'Analisis Sanitarios'!$1:$6</definedName>
    <definedName name="_xlnm.Print_Titles" localSheetId="5">'insumos ELECT'!$1:$4</definedName>
    <definedName name="_xlnm.Print_Titles" localSheetId="2">'Insumos sanitarios'!$1:$4</definedName>
    <definedName name="_xlnm.Print_Titles" localSheetId="6">'mano de obra ELECT'!$1:$4</definedName>
    <definedName name="_xlnm.Print_Titles" localSheetId="3">'Mano de Obra Sanitaria'!$1:$4</definedName>
    <definedName name="_xlnm.Print_Titles" localSheetId="1">Subcontratos!$1:$3</definedName>
    <definedName name="_xlnm.Print_Titles" localSheetId="8">'tarifa equipo'!$1:$6</definedName>
    <definedName name="_xlnm.Print_Titles">#N/A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[61]peso!#REF!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 localSheetId="0">[44]Herram!$E$152</definedName>
    <definedName name="PWINCHE2000K">[28]INS!$D$568</definedName>
    <definedName name="PZ" localSheetId="4">#REF!</definedName>
    <definedName name="PZ" localSheetId="2">#REF!</definedName>
    <definedName name="PZ" localSheetId="3">#REF!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[19]A!#REF!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[62]COF!$G$733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'[63]Pasarela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[64]Insumos!$I$3</definedName>
    <definedName name="RUSTICO">#REF!</definedName>
    <definedName name="RV">[41]Presup.!#REF!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[36]MO!$B$16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'[65]Ana.precios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[66]Insumos!$H$2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MBRE">#REF!</definedName>
    <definedName name="TINACOS">#REF!</definedName>
    <definedName name="TITULO_COPIAR_TODO">#REF!</definedName>
    <definedName name="TITULO_PRESUPUESTO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'[63]Pasarela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[35]EQUIPOS!$D$14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'[67]Ins 2'!$E$51</definedName>
    <definedName name="TRIPLESEAL">#REF!</definedName>
    <definedName name="Trompo">#REF!</definedName>
    <definedName name="truct">[20]Materiales!#REF!</definedName>
    <definedName name="tub6x14">[10]analisis!$G$2304</definedName>
    <definedName name="tub8x12">[10]analisis!$G$2313</definedName>
    <definedName name="tub8x516">[10]analisis!$G$2322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 localSheetId="4">#REF!</definedName>
    <definedName name="ud" localSheetId="2">#REF!</definedName>
    <definedName name="ud" localSheetId="3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 localSheetId="4">#REF!</definedName>
    <definedName name="us" localSheetId="2">#REF!</definedName>
    <definedName name="us" localSheetId="3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 localSheetId="4">#REF!</definedName>
    <definedName name="v" localSheetId="2">#REF!</definedName>
    <definedName name="v" localSheetId="3">#REF!</definedName>
    <definedName name="v">#REF!</definedName>
    <definedName name="VACC">[12]Precio!$F$31</definedName>
    <definedName name="vaciado">#REF!</definedName>
    <definedName name="VACIADOAMANO">#REF!</definedName>
    <definedName name="VACZ">[12]Precio!$F$30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 localSheetId="4">#REF!</definedName>
    <definedName name="VALORM" localSheetId="2">#REF!</definedName>
    <definedName name="VALORM" localSheetId="3">#REF!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4">#REF!</definedName>
    <definedName name="VALORT" localSheetId="2">#REF!</definedName>
    <definedName name="VALORT" localSheetId="3">#REF!</definedName>
    <definedName name="VALORT">#REF!</definedName>
    <definedName name="VALORV" localSheetId="4">#REF!</definedName>
    <definedName name="VALORV" localSheetId="2">#REF!</definedName>
    <definedName name="VALORV" localSheetId="3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[12]Precio!$F$41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 localSheetId="4">#REF!</definedName>
    <definedName name="VP" localSheetId="2">#REF!</definedName>
    <definedName name="VP" localSheetId="3">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[12]Precio!$F$39</definedName>
    <definedName name="VXCSD">#REF!</definedName>
    <definedName name="W10X12">[10]analisis!$G$1534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 localSheetId="4">#REF!</definedName>
    <definedName name="YESO" localSheetId="2">#REF!</definedName>
    <definedName name="YESO" localSheetId="3">#REF!</definedName>
    <definedName name="YESO">#REF!</definedName>
    <definedName name="YO">[19]A!#REF!</definedName>
    <definedName name="z">#REF!</definedName>
    <definedName name="Z_15D88E2F_BE3F_4C06_8E2B_FD56F7CA5E1F_.wvu.FilterData" localSheetId="4" hidden="1">'Analisis Sanitarios'!$A$6:$F$7</definedName>
    <definedName name="Z_2930DD62_F877_4DE5_A714_85F856742680_.wvu.FilterData" localSheetId="4" hidden="1">'Analisis Sanitarios'!$A$6:$F$7</definedName>
    <definedName name="Z_431E6F0F_3E7F_4CE4_BB81_0E3DBB44D61A_.wvu.FilterData" localSheetId="4" hidden="1">'Analisis Sanitarios'!$A$6:$F$7</definedName>
    <definedName name="Z_4DD3C19F_827F_4E97_BB8E_FE09E3D94EE2_.wvu.FilterData" localSheetId="4" hidden="1">'Analisis Sanitarios'!$A$6:$F$7</definedName>
    <definedName name="Z_6E9A14F6_5483_4BD1_810F_ED881F48A142_.wvu.FilterData" localSheetId="4" hidden="1">'Analisis Sanitarios'!$A$6:$F$7</definedName>
    <definedName name="Z_7B2977E6_67AB_42C0_A9D5_A9501E6BF315_.wvu.FilterData" localSheetId="4" hidden="1">'Analisis Sanitarios'!$A$6:$F$7</definedName>
    <definedName name="Z_7BED77B5_ED9F_468C_A8DC_95071794F1AD_.wvu.FilterData" localSheetId="4" hidden="1">'Analisis Sanitarios'!$A$6:$F$7</definedName>
    <definedName name="Z_AD1980B4_1CB7_4E6F_ABBF_1B7291DE80FE_.wvu.FilterData" localSheetId="4" hidden="1">'Analisis Sanitarios'!$A$6:$F$7</definedName>
    <definedName name="Z_B3A2A33C_36A6_4CF2_9791_7A757B548E64_.wvu.FilterData" localSheetId="4" hidden="1">'Analisis Sanitarios'!$A$6:$F$7</definedName>
    <definedName name="Z_C2FE0CBD_EFBC_4291_BC65_FC2C82D636C9_.wvu.FilterData" localSheetId="4" hidden="1">'Analisis Sanitarios'!$A$6:$F$7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 localSheetId="4">#REF!</definedName>
    <definedName name="zocalobotichinorojo" localSheetId="2">#REF!</definedName>
    <definedName name="zocalobotichinorojo" localSheetId="3">#REF!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67" l="1"/>
  <c r="C22" i="167"/>
  <c r="C25" i="167" l="1"/>
  <c r="H212" i="167" l="1"/>
  <c r="E7" i="163" l="1"/>
  <c r="F7" i="163"/>
  <c r="G7" i="163" s="1"/>
  <c r="E8" i="163"/>
  <c r="F8" i="163"/>
  <c r="G8" i="163" s="1"/>
  <c r="E9" i="163"/>
  <c r="F9" i="163"/>
  <c r="G9" i="163" s="1"/>
  <c r="E10" i="163"/>
  <c r="F10" i="163"/>
  <c r="G10" i="163" s="1"/>
  <c r="E11" i="163"/>
  <c r="F11" i="163"/>
  <c r="G11" i="163" s="1"/>
  <c r="E12" i="163"/>
  <c r="F12" i="163"/>
  <c r="G12" i="163" s="1"/>
  <c r="E13" i="163"/>
  <c r="F13" i="163"/>
  <c r="G13" i="163" s="1"/>
  <c r="E14" i="163"/>
  <c r="F14" i="163"/>
  <c r="G14" i="163" s="1"/>
  <c r="E15" i="163"/>
  <c r="F15" i="163"/>
  <c r="G15" i="163" s="1"/>
  <c r="E16" i="163"/>
  <c r="F16" i="163"/>
  <c r="G16" i="163" s="1"/>
  <c r="E17" i="163"/>
  <c r="F17" i="163"/>
  <c r="G17" i="163" s="1"/>
  <c r="E18" i="163"/>
  <c r="F18" i="163"/>
  <c r="E19" i="163"/>
  <c r="F19" i="163"/>
  <c r="G19" i="163" s="1"/>
  <c r="E20" i="163"/>
  <c r="F20" i="163"/>
  <c r="G20" i="163" s="1"/>
  <c r="E21" i="163"/>
  <c r="F21" i="163"/>
  <c r="G21" i="163" s="1"/>
  <c r="E22" i="163"/>
  <c r="F22" i="163"/>
  <c r="G22" i="163" s="1"/>
  <c r="E23" i="163"/>
  <c r="F23" i="163"/>
  <c r="G23" i="163" s="1"/>
  <c r="E24" i="163"/>
  <c r="F24" i="163"/>
  <c r="G24" i="163" s="1"/>
  <c r="E25" i="163"/>
  <c r="F25" i="163"/>
  <c r="G25" i="163" s="1"/>
  <c r="E27" i="163"/>
  <c r="F27" i="163"/>
  <c r="G27" i="163" s="1"/>
  <c r="E28" i="163"/>
  <c r="F28" i="163"/>
  <c r="G28" i="163" s="1"/>
  <c r="E29" i="163"/>
  <c r="F29" i="163"/>
  <c r="G29" i="163" s="1"/>
  <c r="E30" i="163"/>
  <c r="F30" i="163"/>
  <c r="G30" i="163" s="1"/>
  <c r="E31" i="163"/>
  <c r="F31" i="163"/>
  <c r="G31" i="163" s="1"/>
  <c r="E32" i="163"/>
  <c r="F32" i="163"/>
  <c r="G32" i="163" s="1"/>
  <c r="E33" i="163"/>
  <c r="F33" i="163"/>
  <c r="G33" i="163" s="1"/>
  <c r="E34" i="163"/>
  <c r="F34" i="163"/>
  <c r="G34" i="163" s="1"/>
  <c r="E35" i="163"/>
  <c r="F35" i="163"/>
  <c r="G35" i="163" s="1"/>
  <c r="E36" i="163"/>
  <c r="F36" i="163"/>
  <c r="G36" i="163" s="1"/>
  <c r="E38" i="163"/>
  <c r="F38" i="163"/>
  <c r="G38" i="163" s="1"/>
  <c r="E39" i="163"/>
  <c r="F39" i="163"/>
  <c r="G39" i="163" s="1"/>
  <c r="E40" i="163"/>
  <c r="F40" i="163"/>
  <c r="G40" i="163" s="1"/>
  <c r="E41" i="163"/>
  <c r="F41" i="163"/>
  <c r="G41" i="163" s="1"/>
  <c r="E42" i="163"/>
  <c r="F42" i="163"/>
  <c r="G42" i="163" s="1"/>
  <c r="E43" i="163"/>
  <c r="F43" i="163"/>
  <c r="G43" i="163" s="1"/>
  <c r="E44" i="163"/>
  <c r="F44" i="163"/>
  <c r="G44" i="163" s="1"/>
  <c r="E45" i="163"/>
  <c r="F45" i="163"/>
  <c r="G45" i="163" s="1"/>
  <c r="E47" i="163"/>
  <c r="F47" i="163"/>
  <c r="G47" i="163" s="1"/>
  <c r="E48" i="163"/>
  <c r="F48" i="163"/>
  <c r="G48" i="163" s="1"/>
  <c r="E49" i="163"/>
  <c r="F49" i="163"/>
  <c r="G49" i="163" s="1"/>
  <c r="E50" i="163"/>
  <c r="F50" i="163"/>
  <c r="G50" i="163" s="1"/>
  <c r="E51" i="163"/>
  <c r="F51" i="163"/>
  <c r="G51" i="163" s="1"/>
  <c r="E52" i="163"/>
  <c r="F52" i="163"/>
  <c r="G52" i="163" s="1"/>
  <c r="E53" i="163"/>
  <c r="F53" i="163"/>
  <c r="G53" i="163" s="1"/>
  <c r="E54" i="163"/>
  <c r="F54" i="163"/>
  <c r="G54" i="163" s="1"/>
  <c r="E55" i="163"/>
  <c r="F55" i="163"/>
  <c r="G55" i="163" s="1"/>
  <c r="E56" i="163"/>
  <c r="F56" i="163"/>
  <c r="G56" i="163" s="1"/>
  <c r="E57" i="163"/>
  <c r="F57" i="163"/>
  <c r="G57" i="163" s="1"/>
  <c r="E58" i="163"/>
  <c r="F58" i="163"/>
  <c r="G58" i="163" s="1"/>
  <c r="E59" i="163"/>
  <c r="F59" i="163"/>
  <c r="G59" i="163" s="1"/>
  <c r="E60" i="163"/>
  <c r="F60" i="163"/>
  <c r="G60" i="163" s="1"/>
  <c r="E61" i="163"/>
  <c r="F61" i="163"/>
  <c r="G61" i="163" s="1"/>
  <c r="E62" i="163"/>
  <c r="F62" i="163"/>
  <c r="G62" i="163" s="1"/>
  <c r="E63" i="163"/>
  <c r="F63" i="163"/>
  <c r="G63" i="163" s="1"/>
  <c r="E64" i="163"/>
  <c r="F64" i="163"/>
  <c r="G64" i="163" s="1"/>
  <c r="E66" i="163"/>
  <c r="F66" i="163"/>
  <c r="G66" i="163" s="1"/>
  <c r="E67" i="163"/>
  <c r="F67" i="163"/>
  <c r="G67" i="163" s="1"/>
  <c r="E68" i="163"/>
  <c r="F68" i="163"/>
  <c r="G68" i="163" s="1"/>
  <c r="E69" i="163"/>
  <c r="F69" i="163"/>
  <c r="G69" i="163" s="1"/>
  <c r="E71" i="163"/>
  <c r="F71" i="163"/>
  <c r="G71" i="163" s="1"/>
  <c r="E72" i="163"/>
  <c r="F72" i="163"/>
  <c r="G72" i="163" s="1"/>
  <c r="E73" i="163"/>
  <c r="F73" i="163"/>
  <c r="G73" i="163" s="1"/>
  <c r="E74" i="163"/>
  <c r="F74" i="163"/>
  <c r="G74" i="163" s="1"/>
  <c r="E76" i="163"/>
  <c r="F76" i="163"/>
  <c r="G76" i="163" s="1"/>
  <c r="E77" i="163"/>
  <c r="F77" i="163"/>
  <c r="G77" i="163" s="1"/>
  <c r="E78" i="163"/>
  <c r="F78" i="163"/>
  <c r="G78" i="163" s="1"/>
  <c r="E79" i="163"/>
  <c r="F79" i="163"/>
  <c r="G79" i="163" s="1"/>
  <c r="E80" i="163"/>
  <c r="F80" i="163"/>
  <c r="G80" i="163" s="1"/>
  <c r="E82" i="163"/>
  <c r="F82" i="163"/>
  <c r="G82" i="163" s="1"/>
  <c r="E83" i="163"/>
  <c r="F83" i="163"/>
  <c r="G83" i="163" s="1"/>
  <c r="E84" i="163"/>
  <c r="F84" i="163"/>
  <c r="G84" i="163" s="1"/>
  <c r="E85" i="163"/>
  <c r="F85" i="163"/>
  <c r="G85" i="163" s="1"/>
  <c r="A7" i="157"/>
  <c r="A8" i="157" s="1"/>
  <c r="A9" i="157" s="1"/>
  <c r="A10" i="157" s="1"/>
  <c r="A11" i="157" s="1"/>
  <c r="A12" i="157" s="1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A26" i="157" s="1"/>
  <c r="A27" i="157" s="1"/>
  <c r="A28" i="157" s="1"/>
  <c r="A29" i="157" s="1"/>
  <c r="A30" i="157" s="1"/>
  <c r="A31" i="157" s="1"/>
  <c r="A32" i="157" s="1"/>
  <c r="A35" i="157" s="1"/>
  <c r="A36" i="157" s="1"/>
  <c r="A37" i="157" s="1"/>
  <c r="A38" i="157" s="1"/>
  <c r="A39" i="157" s="1"/>
  <c r="A40" i="157" s="1"/>
  <c r="A41" i="157" s="1"/>
  <c r="A44" i="157" s="1"/>
  <c r="A45" i="157" s="1"/>
  <c r="A46" i="157" s="1"/>
  <c r="A47" i="157" s="1"/>
  <c r="A48" i="157" s="1"/>
  <c r="A49" i="157" s="1"/>
  <c r="A50" i="157" s="1"/>
  <c r="A51" i="157" s="1"/>
  <c r="A52" i="157" s="1"/>
  <c r="A53" i="157" s="1"/>
  <c r="A54" i="157" s="1"/>
  <c r="A57" i="157" s="1"/>
  <c r="A58" i="157" s="1"/>
  <c r="A59" i="157" s="1"/>
  <c r="A60" i="157" s="1"/>
  <c r="A61" i="157" s="1"/>
  <c r="A62" i="157" s="1"/>
  <c r="A65" i="157" s="1"/>
  <c r="A66" i="157" s="1"/>
  <c r="A67" i="157" s="1"/>
  <c r="A68" i="157" s="1"/>
  <c r="A69" i="157" s="1"/>
  <c r="A70" i="157" s="1"/>
  <c r="A73" i="157" s="1"/>
  <c r="A74" i="157" s="1"/>
  <c r="A75" i="157" s="1"/>
  <c r="A76" i="157" s="1"/>
  <c r="A77" i="157" s="1"/>
  <c r="A78" i="157" s="1"/>
  <c r="A79" i="157" s="1"/>
  <c r="A80" i="157" s="1"/>
  <c r="A81" i="157" s="1"/>
  <c r="A82" i="157" s="1"/>
  <c r="A83" i="157" s="1"/>
  <c r="A86" i="157" s="1"/>
  <c r="A87" i="157" s="1"/>
  <c r="A88" i="157" s="1"/>
  <c r="A89" i="157" s="1"/>
  <c r="A90" i="157" s="1"/>
  <c r="A91" i="157" s="1"/>
  <c r="A92" i="157" s="1"/>
  <c r="A93" i="157" s="1"/>
  <c r="A94" i="157" s="1"/>
  <c r="A95" i="157" s="1"/>
  <c r="A96" i="157" s="1"/>
  <c r="A97" i="157" s="1"/>
  <c r="A98" i="157" s="1"/>
  <c r="A101" i="157" s="1"/>
  <c r="A102" i="157" s="1"/>
  <c r="A103" i="157" s="1"/>
  <c r="A104" i="157" s="1"/>
  <c r="A107" i="157" s="1"/>
  <c r="A108" i="157" s="1"/>
  <c r="A109" i="157" s="1"/>
  <c r="A110" i="157" s="1"/>
  <c r="A113" i="157" s="1"/>
  <c r="A114" i="157" s="1"/>
  <c r="A115" i="157" s="1"/>
  <c r="A116" i="157" s="1"/>
  <c r="A119" i="157" s="1"/>
  <c r="A120" i="157" s="1"/>
  <c r="A121" i="157" s="1"/>
  <c r="A122" i="157" s="1"/>
  <c r="A123" i="157" s="1"/>
  <c r="A124" i="157" s="1"/>
  <c r="A125" i="157" s="1"/>
  <c r="A126" i="157" s="1"/>
  <c r="A127" i="157" s="1"/>
  <c r="A128" i="157" s="1"/>
  <c r="A129" i="157" s="1"/>
  <c r="A132" i="157" s="1"/>
  <c r="A133" i="157" s="1"/>
  <c r="A134" i="157" s="1"/>
  <c r="A135" i="157" s="1"/>
  <c r="A136" i="157" s="1"/>
  <c r="A137" i="157" s="1"/>
  <c r="A138" i="157" s="1"/>
  <c r="A139" i="157" s="1"/>
  <c r="A140" i="157" s="1"/>
  <c r="A141" i="157" s="1"/>
  <c r="A142" i="157" s="1"/>
  <c r="A143" i="157" s="1"/>
  <c r="A146" i="157" s="1"/>
  <c r="A147" i="157" s="1"/>
  <c r="A148" i="157" s="1"/>
  <c r="A149" i="157" s="1"/>
  <c r="A150" i="157" s="1"/>
  <c r="A151" i="157" s="1"/>
  <c r="A152" i="157" s="1"/>
  <c r="A153" i="157" s="1"/>
  <c r="A154" i="157" s="1"/>
  <c r="A155" i="157" s="1"/>
  <c r="A158" i="157" s="1"/>
  <c r="A159" i="157" s="1"/>
  <c r="A160" i="157" s="1"/>
  <c r="A161" i="157" s="1"/>
  <c r="A162" i="157" s="1"/>
  <c r="A163" i="157" s="1"/>
  <c r="A166" i="157" s="1"/>
  <c r="A167" i="157" s="1"/>
  <c r="A168" i="157" s="1"/>
  <c r="A169" i="157" s="1"/>
  <c r="A170" i="157" s="1"/>
  <c r="A171" i="157" s="1"/>
  <c r="A172" i="157" s="1"/>
  <c r="A173" i="157" s="1"/>
  <c r="A174" i="157" s="1"/>
  <c r="A175" i="157" s="1"/>
  <c r="A176" i="157" s="1"/>
  <c r="A177" i="157" s="1"/>
  <c r="A178" i="157" s="1"/>
  <c r="A179" i="157" s="1"/>
  <c r="A180" i="157" s="1"/>
  <c r="A181" i="157" s="1"/>
  <c r="A182" i="157" s="1"/>
  <c r="A183" i="157" s="1"/>
  <c r="A184" i="157" s="1"/>
  <c r="A185" i="157" s="1"/>
  <c r="A186" i="157" s="1"/>
  <c r="A187" i="157" s="1"/>
  <c r="A188" i="157" s="1"/>
  <c r="A189" i="157" s="1"/>
  <c r="A190" i="157" s="1"/>
  <c r="A191" i="157" s="1"/>
  <c r="A7" i="134"/>
  <c r="A8" i="134" s="1"/>
  <c r="A9" i="134" s="1"/>
  <c r="A10" i="134" s="1"/>
  <c r="A11" i="134" s="1"/>
  <c r="A12" i="134" s="1"/>
  <c r="A13" i="134" s="1"/>
  <c r="A14" i="134" s="1"/>
  <c r="A15" i="134" s="1"/>
  <c r="A16" i="134" s="1"/>
  <c r="A17" i="134" s="1"/>
  <c r="A18" i="134" s="1"/>
  <c r="A19" i="134" s="1"/>
  <c r="A20" i="134" s="1"/>
  <c r="A21" i="134" s="1"/>
  <c r="A22" i="134" s="1"/>
  <c r="A23" i="134" s="1"/>
  <c r="A24" i="134" s="1"/>
  <c r="A25" i="134" s="1"/>
  <c r="A26" i="134" s="1"/>
  <c r="A27" i="134" s="1"/>
  <c r="A28" i="134" s="1"/>
  <c r="A29" i="134" s="1"/>
  <c r="A30" i="134" s="1"/>
  <c r="A31" i="134" s="1"/>
  <c r="A32" i="134" s="1"/>
  <c r="A33" i="134" s="1"/>
  <c r="A34" i="134" s="1"/>
  <c r="A35" i="134" s="1"/>
  <c r="A36" i="134" s="1"/>
  <c r="A37" i="134" s="1"/>
  <c r="A38" i="134" s="1"/>
  <c r="A39" i="134" s="1"/>
  <c r="A40" i="134" s="1"/>
  <c r="A41" i="134" s="1"/>
  <c r="A42" i="134" s="1"/>
  <c r="A43" i="134" s="1"/>
  <c r="A44" i="134" s="1"/>
  <c r="A45" i="134" s="1"/>
  <c r="A46" i="134" s="1"/>
  <c r="A50" i="134" s="1"/>
  <c r="A51" i="134" s="1"/>
  <c r="A52" i="134" s="1"/>
  <c r="A53" i="134" s="1"/>
  <c r="A54" i="134" s="1"/>
  <c r="A55" i="134" s="1"/>
  <c r="A56" i="134" s="1"/>
  <c r="A59" i="134" s="1"/>
  <c r="A60" i="134" s="1"/>
  <c r="A61" i="134" s="1"/>
  <c r="A62" i="134" s="1"/>
  <c r="A63" i="134" s="1"/>
  <c r="A64" i="134" s="1"/>
  <c r="A65" i="134" s="1"/>
  <c r="A66" i="134" s="1"/>
  <c r="A67" i="134" s="1"/>
  <c r="A68" i="134" s="1"/>
  <c r="A69" i="134" s="1"/>
  <c r="A70" i="134" s="1"/>
  <c r="A71" i="134" s="1"/>
  <c r="A72" i="134" s="1"/>
  <c r="A73" i="134" s="1"/>
  <c r="A74" i="134" s="1"/>
  <c r="A75" i="134" s="1"/>
  <c r="A76" i="134" s="1"/>
  <c r="A77" i="134" s="1"/>
  <c r="A78" i="134" s="1"/>
  <c r="A79" i="134" s="1"/>
  <c r="A80" i="134" s="1"/>
  <c r="A81" i="134" s="1"/>
  <c r="A82" i="134" s="1"/>
  <c r="A83" i="134" s="1"/>
  <c r="A84" i="134" s="1"/>
  <c r="A85" i="134" s="1"/>
  <c r="A86" i="134" s="1"/>
  <c r="A87" i="134" s="1"/>
  <c r="A88" i="134" s="1"/>
  <c r="A89" i="134" s="1"/>
  <c r="H84" i="163" l="1"/>
  <c r="H82" i="163"/>
  <c r="H79" i="163"/>
  <c r="H77" i="163"/>
  <c r="H74" i="163"/>
  <c r="H72" i="163"/>
  <c r="H69" i="163"/>
  <c r="H67" i="163"/>
  <c r="H64" i="163"/>
  <c r="H62" i="163"/>
  <c r="H60" i="163"/>
  <c r="H58" i="163"/>
  <c r="H56" i="163"/>
  <c r="H54" i="163"/>
  <c r="H52" i="163"/>
  <c r="H50" i="163"/>
  <c r="H48" i="163"/>
  <c r="H45" i="163"/>
  <c r="H43" i="163"/>
  <c r="H36" i="163"/>
  <c r="H34" i="163"/>
  <c r="H32" i="163"/>
  <c r="H33" i="163"/>
  <c r="H24" i="163"/>
  <c r="H85" i="163"/>
  <c r="H83" i="163"/>
  <c r="H80" i="163"/>
  <c r="H78" i="163"/>
  <c r="H76" i="163"/>
  <c r="H73" i="163"/>
  <c r="H71" i="163"/>
  <c r="H68" i="163"/>
  <c r="H66" i="163"/>
  <c r="H63" i="163"/>
  <c r="H61" i="163"/>
  <c r="H59" i="163"/>
  <c r="H55" i="163"/>
  <c r="H53" i="163"/>
  <c r="H51" i="163"/>
  <c r="H49" i="163"/>
  <c r="H47" i="163"/>
  <c r="H44" i="163"/>
  <c r="H42" i="163"/>
  <c r="H38" i="163"/>
  <c r="H35" i="163"/>
  <c r="H31" i="163"/>
  <c r="H20" i="163"/>
  <c r="H8" i="163"/>
  <c r="H57" i="163"/>
  <c r="H41" i="163"/>
  <c r="H39" i="163"/>
  <c r="H40" i="163"/>
  <c r="H29" i="163"/>
  <c r="H16" i="163"/>
  <c r="H12" i="163"/>
  <c r="H27" i="163"/>
  <c r="H22" i="163"/>
  <c r="H28" i="163"/>
  <c r="H23" i="163"/>
  <c r="H19" i="163"/>
  <c r="H30" i="163"/>
  <c r="H25" i="163"/>
  <c r="H21" i="163"/>
  <c r="H17" i="163"/>
  <c r="H13" i="163"/>
  <c r="H9" i="163"/>
  <c r="H14" i="163"/>
  <c r="H10" i="163"/>
  <c r="H15" i="163"/>
  <c r="H11" i="163"/>
  <c r="H7" i="163"/>
  <c r="G18" i="163"/>
  <c r="H18" i="163" s="1"/>
  <c r="A92" i="134"/>
  <c r="A93" i="134" s="1"/>
  <c r="A94" i="134" s="1"/>
  <c r="A95" i="134" s="1"/>
  <c r="A96" i="134" s="1"/>
  <c r="A47" i="134"/>
  <c r="E466" i="160"/>
  <c r="E465" i="160"/>
  <c r="F465" i="160" s="1"/>
  <c r="E464" i="160"/>
  <c r="E474" i="160"/>
  <c r="E473" i="160"/>
  <c r="F473" i="160" s="1"/>
  <c r="E472" i="160"/>
  <c r="F472" i="160" s="1"/>
  <c r="E468" i="160"/>
  <c r="E467" i="160"/>
  <c r="E26" i="161"/>
  <c r="E471" i="160" s="1"/>
  <c r="F471" i="160" s="1"/>
  <c r="E25" i="161"/>
  <c r="E470" i="160" s="1"/>
  <c r="E24" i="161"/>
  <c r="E469" i="160" s="1"/>
  <c r="E218" i="161"/>
  <c r="E454" i="160" s="1"/>
  <c r="F454" i="160" s="1"/>
  <c r="E217" i="161"/>
  <c r="E439" i="160" s="1"/>
  <c r="F439" i="160" s="1"/>
  <c r="E216" i="161"/>
  <c r="E429" i="160" s="1"/>
  <c r="F429" i="160" s="1"/>
  <c r="E215" i="161"/>
  <c r="E437" i="160" s="1"/>
  <c r="F437" i="160" s="1"/>
  <c r="E214" i="161"/>
  <c r="E445" i="160" s="1"/>
  <c r="F445" i="160" s="1"/>
  <c r="E459" i="160"/>
  <c r="F459" i="160" s="1"/>
  <c r="E451" i="160"/>
  <c r="F451" i="160" s="1"/>
  <c r="E444" i="160"/>
  <c r="F444" i="160" s="1"/>
  <c r="E435" i="160"/>
  <c r="F435" i="160" s="1"/>
  <c r="E426" i="160"/>
  <c r="F426" i="160" s="1"/>
  <c r="E417" i="160"/>
  <c r="F417" i="160" s="1"/>
  <c r="E407" i="160"/>
  <c r="F407" i="160" s="1"/>
  <c r="A7" i="162"/>
  <c r="A8" i="162" s="1"/>
  <c r="A9" i="162" s="1"/>
  <c r="A10" i="162" s="1"/>
  <c r="A11" i="162" s="1"/>
  <c r="A12" i="162" s="1"/>
  <c r="A13" i="162" s="1"/>
  <c r="A14" i="162" s="1"/>
  <c r="A15" i="162" s="1"/>
  <c r="A16" i="162" s="1"/>
  <c r="A17" i="162" s="1"/>
  <c r="A18" i="162" s="1"/>
  <c r="A19" i="162" s="1"/>
  <c r="A20" i="162" s="1"/>
  <c r="A21" i="162" s="1"/>
  <c r="A22" i="162" s="1"/>
  <c r="A23" i="162" s="1"/>
  <c r="A24" i="162" s="1"/>
  <c r="A25" i="162" s="1"/>
  <c r="A26" i="162" s="1"/>
  <c r="A27" i="162" s="1"/>
  <c r="A28" i="162" s="1"/>
  <c r="A29" i="162" s="1"/>
  <c r="A30" i="162" s="1"/>
  <c r="A31" i="162" s="1"/>
  <c r="A7" i="161"/>
  <c r="A8" i="161" s="1"/>
  <c r="A9" i="161" s="1"/>
  <c r="A10" i="161" s="1"/>
  <c r="A11" i="161" s="1"/>
  <c r="A12" i="161" s="1"/>
  <c r="A13" i="161" s="1"/>
  <c r="A14" i="161" s="1"/>
  <c r="A15" i="161" s="1"/>
  <c r="A16" i="161" s="1"/>
  <c r="A17" i="161" s="1"/>
  <c r="A18" i="161" s="1"/>
  <c r="A19" i="161" s="1"/>
  <c r="A20" i="161" s="1"/>
  <c r="A21" i="161" s="1"/>
  <c r="A22" i="161" s="1"/>
  <c r="A23" i="161" s="1"/>
  <c r="A24" i="161" s="1"/>
  <c r="A25" i="161" s="1"/>
  <c r="A26" i="161" s="1"/>
  <c r="A27" i="161" s="1"/>
  <c r="A28" i="161" s="1"/>
  <c r="A29" i="161" s="1"/>
  <c r="A30" i="161" s="1"/>
  <c r="A31" i="161" s="1"/>
  <c r="A32" i="161" s="1"/>
  <c r="A33" i="161" s="1"/>
  <c r="A34" i="161" s="1"/>
  <c r="A35" i="161" s="1"/>
  <c r="A36" i="161" s="1"/>
  <c r="A37" i="161" s="1"/>
  <c r="A38" i="161" s="1"/>
  <c r="A39" i="161" s="1"/>
  <c r="A40" i="161" s="1"/>
  <c r="A41" i="161" s="1"/>
  <c r="A42" i="161" s="1"/>
  <c r="A43" i="161" s="1"/>
  <c r="A44" i="161" s="1"/>
  <c r="A45" i="161" s="1"/>
  <c r="A46" i="161" s="1"/>
  <c r="A47" i="161" s="1"/>
  <c r="A48" i="161" s="1"/>
  <c r="A49" i="161" s="1"/>
  <c r="A50" i="161" s="1"/>
  <c r="A51" i="161" s="1"/>
  <c r="A52" i="161" s="1"/>
  <c r="A53" i="161" s="1"/>
  <c r="A54" i="161" s="1"/>
  <c r="A55" i="161" s="1"/>
  <c r="A56" i="161" s="1"/>
  <c r="A57" i="161" s="1"/>
  <c r="A58" i="161" s="1"/>
  <c r="A59" i="161" s="1"/>
  <c r="A60" i="161" s="1"/>
  <c r="A61" i="161" s="1"/>
  <c r="A62" i="161" s="1"/>
  <c r="A63" i="161" s="1"/>
  <c r="A64" i="161" s="1"/>
  <c r="A65" i="161" s="1"/>
  <c r="A66" i="161" s="1"/>
  <c r="A67" i="161" s="1"/>
  <c r="A68" i="161" s="1"/>
  <c r="A69" i="161" s="1"/>
  <c r="A70" i="161" s="1"/>
  <c r="A71" i="161" s="1"/>
  <c r="A72" i="161" s="1"/>
  <c r="A73" i="161" s="1"/>
  <c r="A74" i="161" s="1"/>
  <c r="A75" i="161" s="1"/>
  <c r="A76" i="161" s="1"/>
  <c r="A77" i="161" s="1"/>
  <c r="A78" i="161" s="1"/>
  <c r="A79" i="161" s="1"/>
  <c r="A80" i="161" s="1"/>
  <c r="A81" i="161" s="1"/>
  <c r="A82" i="161" s="1"/>
  <c r="A83" i="161" s="1"/>
  <c r="A84" i="161" s="1"/>
  <c r="A85" i="161" s="1"/>
  <c r="A86" i="161" s="1"/>
  <c r="A87" i="161" s="1"/>
  <c r="A88" i="161" s="1"/>
  <c r="A89" i="161" s="1"/>
  <c r="A90" i="161" s="1"/>
  <c r="A91" i="161" s="1"/>
  <c r="A92" i="161" s="1"/>
  <c r="A93" i="161" s="1"/>
  <c r="A94" i="161" s="1"/>
  <c r="A95" i="161" s="1"/>
  <c r="A96" i="161" s="1"/>
  <c r="A97" i="161" s="1"/>
  <c r="A98" i="161" s="1"/>
  <c r="A99" i="161" s="1"/>
  <c r="A100" i="161" s="1"/>
  <c r="A101" i="161" s="1"/>
  <c r="A102" i="161" s="1"/>
  <c r="A103" i="161" s="1"/>
  <c r="A104" i="161" s="1"/>
  <c r="A105" i="161" s="1"/>
  <c r="A106" i="161" s="1"/>
  <c r="A107" i="161" s="1"/>
  <c r="A108" i="161" s="1"/>
  <c r="A109" i="161" s="1"/>
  <c r="A110" i="161" s="1"/>
  <c r="A111" i="161" s="1"/>
  <c r="A112" i="161" s="1"/>
  <c r="A113" i="161" s="1"/>
  <c r="A114" i="161" s="1"/>
  <c r="A115" i="161" s="1"/>
  <c r="A116" i="161" s="1"/>
  <c r="A117" i="161" s="1"/>
  <c r="A118" i="161" s="1"/>
  <c r="A119" i="161" s="1"/>
  <c r="A120" i="161" s="1"/>
  <c r="A121" i="161" s="1"/>
  <c r="A122" i="161" s="1"/>
  <c r="A123" i="161" s="1"/>
  <c r="A124" i="161" s="1"/>
  <c r="A125" i="161" s="1"/>
  <c r="A126" i="161" s="1"/>
  <c r="A127" i="161" s="1"/>
  <c r="A128" i="161" s="1"/>
  <c r="A129" i="161" s="1"/>
  <c r="A130" i="161" s="1"/>
  <c r="A131" i="161" s="1"/>
  <c r="A132" i="161" s="1"/>
  <c r="A133" i="161" s="1"/>
  <c r="A134" i="161" s="1"/>
  <c r="A135" i="161" s="1"/>
  <c r="A136" i="161" s="1"/>
  <c r="A137" i="161" s="1"/>
  <c r="A138" i="161" s="1"/>
  <c r="A139" i="161" s="1"/>
  <c r="A140" i="161" s="1"/>
  <c r="A141" i="161" s="1"/>
  <c r="A142" i="161" s="1"/>
  <c r="A143" i="161" s="1"/>
  <c r="A144" i="161" s="1"/>
  <c r="A145" i="161" s="1"/>
  <c r="A146" i="161" s="1"/>
  <c r="A147" i="161" s="1"/>
  <c r="A148" i="161" s="1"/>
  <c r="A149" i="161" s="1"/>
  <c r="A150" i="161" s="1"/>
  <c r="A151" i="161" s="1"/>
  <c r="A152" i="161" s="1"/>
  <c r="A153" i="161" s="1"/>
  <c r="A154" i="161" s="1"/>
  <c r="A155" i="161" s="1"/>
  <c r="A156" i="161" s="1"/>
  <c r="A157" i="161" s="1"/>
  <c r="A158" i="161" s="1"/>
  <c r="A159" i="161" s="1"/>
  <c r="A160" i="161" s="1"/>
  <c r="A161" i="161" s="1"/>
  <c r="A162" i="161" s="1"/>
  <c r="A163" i="161" s="1"/>
  <c r="A164" i="161" s="1"/>
  <c r="A165" i="161" s="1"/>
  <c r="A166" i="161" s="1"/>
  <c r="A167" i="161" s="1"/>
  <c r="A168" i="161" s="1"/>
  <c r="A169" i="161" s="1"/>
  <c r="A170" i="161" s="1"/>
  <c r="A171" i="161" s="1"/>
  <c r="A172" i="161" s="1"/>
  <c r="A173" i="161" s="1"/>
  <c r="A174" i="161" s="1"/>
  <c r="A175" i="161" s="1"/>
  <c r="A176" i="161" s="1"/>
  <c r="A177" i="161" s="1"/>
  <c r="A178" i="161" s="1"/>
  <c r="A179" i="161" s="1"/>
  <c r="A180" i="161" s="1"/>
  <c r="A181" i="161" s="1"/>
  <c r="A182" i="161" s="1"/>
  <c r="A183" i="161" s="1"/>
  <c r="A184" i="161" s="1"/>
  <c r="A185" i="161" s="1"/>
  <c r="A186" i="161" s="1"/>
  <c r="A187" i="161" s="1"/>
  <c r="A188" i="161" s="1"/>
  <c r="A189" i="161" s="1"/>
  <c r="A190" i="161" s="1"/>
  <c r="A191" i="161" s="1"/>
  <c r="A192" i="161" s="1"/>
  <c r="A193" i="161" s="1"/>
  <c r="A194" i="161" s="1"/>
  <c r="A195" i="161" s="1"/>
  <c r="A196" i="161" s="1"/>
  <c r="A197" i="161" s="1"/>
  <c r="A198" i="161" s="1"/>
  <c r="A199" i="161" s="1"/>
  <c r="A200" i="161" s="1"/>
  <c r="A201" i="161" s="1"/>
  <c r="A202" i="161" s="1"/>
  <c r="A203" i="161" s="1"/>
  <c r="A204" i="161" s="1"/>
  <c r="A205" i="161" s="1"/>
  <c r="A206" i="161" s="1"/>
  <c r="A207" i="161" s="1"/>
  <c r="A208" i="161" s="1"/>
  <c r="A209" i="161" s="1"/>
  <c r="A210" i="161" s="1"/>
  <c r="A211" i="161" s="1"/>
  <c r="A212" i="161" s="1"/>
  <c r="A213" i="161" s="1"/>
  <c r="A214" i="161" s="1"/>
  <c r="A215" i="161" s="1"/>
  <c r="A216" i="161" s="1"/>
  <c r="A217" i="161" s="1"/>
  <c r="A218" i="161" s="1"/>
  <c r="E115" i="160"/>
  <c r="F115" i="160" s="1"/>
  <c r="E350" i="160"/>
  <c r="F350" i="160" s="1"/>
  <c r="E108" i="160"/>
  <c r="F108" i="160" s="1"/>
  <c r="E336" i="160"/>
  <c r="F336" i="160" s="1"/>
  <c r="E401" i="160"/>
  <c r="F401" i="160" s="1"/>
  <c r="E41" i="160"/>
  <c r="F41" i="160" s="1"/>
  <c r="E245" i="160"/>
  <c r="F245" i="160" s="1"/>
  <c r="E230" i="160"/>
  <c r="F230" i="160" s="1"/>
  <c r="E101" i="160"/>
  <c r="F101" i="160" s="1"/>
  <c r="E119" i="160"/>
  <c r="F119" i="160" s="1"/>
  <c r="E275" i="160"/>
  <c r="F275" i="160" s="1"/>
  <c r="E290" i="160"/>
  <c r="F290" i="160" s="1"/>
  <c r="E215" i="160"/>
  <c r="F215" i="160" s="1"/>
  <c r="E320" i="160"/>
  <c r="F320" i="160" s="1"/>
  <c r="E337" i="160"/>
  <c r="F337" i="160" s="1"/>
  <c r="E12" i="160"/>
  <c r="F12" i="160" s="1"/>
  <c r="E14" i="160"/>
  <c r="F14" i="160" s="1"/>
  <c r="E344" i="160"/>
  <c r="F344" i="160" s="1"/>
  <c r="E361" i="160"/>
  <c r="F361" i="160" s="1"/>
  <c r="E346" i="160"/>
  <c r="F346" i="160" s="1"/>
  <c r="E364" i="160"/>
  <c r="F364" i="160" s="1"/>
  <c r="E10" i="160"/>
  <c r="F10" i="160" s="1"/>
  <c r="E11" i="160"/>
  <c r="F11" i="160" s="1"/>
  <c r="E19" i="160"/>
  <c r="F19" i="160" s="1"/>
  <c r="E24" i="160"/>
  <c r="F24" i="160" s="1"/>
  <c r="E27" i="160"/>
  <c r="F27" i="160" s="1"/>
  <c r="E31" i="160"/>
  <c r="F31" i="160" s="1"/>
  <c r="E35" i="160"/>
  <c r="F35" i="160" s="1"/>
  <c r="E40" i="160"/>
  <c r="F40" i="160" s="1"/>
  <c r="E43" i="160"/>
  <c r="F43" i="160" s="1"/>
  <c r="E47" i="160"/>
  <c r="F47" i="160" s="1"/>
  <c r="E51" i="160"/>
  <c r="F51" i="160" s="1"/>
  <c r="E56" i="160"/>
  <c r="F56" i="160" s="1"/>
  <c r="E57" i="160"/>
  <c r="F57" i="160" s="1"/>
  <c r="E65" i="160"/>
  <c r="F65" i="160" s="1"/>
  <c r="E66" i="160"/>
  <c r="F66" i="160" s="1"/>
  <c r="E68" i="160"/>
  <c r="F68" i="160" s="1"/>
  <c r="E69" i="160"/>
  <c r="F69" i="160" s="1"/>
  <c r="E74" i="160"/>
  <c r="F74" i="160" s="1"/>
  <c r="E75" i="160"/>
  <c r="F75" i="160" s="1"/>
  <c r="E77" i="160"/>
  <c r="F77" i="160" s="1"/>
  <c r="E78" i="160"/>
  <c r="F78" i="160" s="1"/>
  <c r="E82" i="160"/>
  <c r="F82" i="160" s="1"/>
  <c r="E85" i="160"/>
  <c r="F85" i="160" s="1"/>
  <c r="E90" i="160"/>
  <c r="F90" i="160" s="1"/>
  <c r="E91" i="160"/>
  <c r="F91" i="160" s="1"/>
  <c r="E93" i="160"/>
  <c r="F93" i="160" s="1"/>
  <c r="E99" i="160"/>
  <c r="F99" i="160" s="1"/>
  <c r="E102" i="160"/>
  <c r="F102" i="160" s="1"/>
  <c r="E107" i="160"/>
  <c r="F107" i="160" s="1"/>
  <c r="E109" i="160"/>
  <c r="F109" i="160" s="1"/>
  <c r="E110" i="160"/>
  <c r="F110" i="160" s="1"/>
  <c r="E113" i="160"/>
  <c r="F113" i="160" s="1"/>
  <c r="E120" i="160"/>
  <c r="F120" i="160" s="1"/>
  <c r="E125" i="160"/>
  <c r="F125" i="160" s="1"/>
  <c r="E126" i="160"/>
  <c r="F126" i="160" s="1"/>
  <c r="E131" i="160"/>
  <c r="F131" i="160" s="1"/>
  <c r="E134" i="160"/>
  <c r="F134" i="160" s="1"/>
  <c r="E136" i="160"/>
  <c r="F136" i="160" s="1"/>
  <c r="E137" i="160"/>
  <c r="F137" i="160" s="1"/>
  <c r="E142" i="160"/>
  <c r="F142" i="160" s="1"/>
  <c r="E143" i="160"/>
  <c r="F143" i="160" s="1"/>
  <c r="E144" i="160"/>
  <c r="F144" i="160" s="1"/>
  <c r="E149" i="160"/>
  <c r="F149" i="160" s="1"/>
  <c r="E151" i="160"/>
  <c r="F151" i="160" s="1"/>
  <c r="E152" i="160"/>
  <c r="F152" i="160" s="1"/>
  <c r="E153" i="160"/>
  <c r="F153" i="160" s="1"/>
  <c r="E154" i="160"/>
  <c r="F154" i="160" s="1"/>
  <c r="E159" i="160"/>
  <c r="F159" i="160" s="1"/>
  <c r="E160" i="160"/>
  <c r="F160" i="160" s="1"/>
  <c r="E162" i="160"/>
  <c r="F162" i="160" s="1"/>
  <c r="D168" i="160"/>
  <c r="E168" i="160"/>
  <c r="F168" i="160" s="1"/>
  <c r="E169" i="160"/>
  <c r="F169" i="160" s="1"/>
  <c r="E170" i="160"/>
  <c r="F170" i="160" s="1"/>
  <c r="E171" i="160"/>
  <c r="F171" i="160" s="1"/>
  <c r="E176" i="160"/>
  <c r="F176" i="160" s="1"/>
  <c r="E177" i="160"/>
  <c r="F177" i="160" s="1"/>
  <c r="E181" i="160"/>
  <c r="F181" i="160" s="1"/>
  <c r="E185" i="160"/>
  <c r="F185" i="160" s="1"/>
  <c r="E186" i="160"/>
  <c r="F186" i="160" s="1"/>
  <c r="E191" i="160"/>
  <c r="F191" i="160" s="1"/>
  <c r="E192" i="160"/>
  <c r="F192" i="160" s="1"/>
  <c r="E196" i="160"/>
  <c r="F196" i="160" s="1"/>
  <c r="E199" i="160"/>
  <c r="F199" i="160" s="1"/>
  <c r="E200" i="160"/>
  <c r="F200" i="160" s="1"/>
  <c r="E201" i="160"/>
  <c r="F201" i="160" s="1"/>
  <c r="E207" i="160"/>
  <c r="F207" i="160" s="1"/>
  <c r="E209" i="160"/>
  <c r="F209" i="160" s="1"/>
  <c r="E216" i="160"/>
  <c r="F216" i="160" s="1"/>
  <c r="E222" i="160"/>
  <c r="F222" i="160" s="1"/>
  <c r="E223" i="160"/>
  <c r="F223" i="160" s="1"/>
  <c r="E224" i="160"/>
  <c r="F224" i="160" s="1"/>
  <c r="E231" i="160"/>
  <c r="F231" i="160" s="1"/>
  <c r="E237" i="160"/>
  <c r="F237" i="160" s="1"/>
  <c r="E242" i="160"/>
  <c r="F242" i="160" s="1"/>
  <c r="E246" i="160"/>
  <c r="F246" i="160" s="1"/>
  <c r="E251" i="160"/>
  <c r="F251" i="160" s="1"/>
  <c r="E252" i="160"/>
  <c r="F252" i="160" s="1"/>
  <c r="E257" i="160"/>
  <c r="F257" i="160" s="1"/>
  <c r="E259" i="160"/>
  <c r="F259" i="160" s="1"/>
  <c r="E260" i="160"/>
  <c r="F260" i="160" s="1"/>
  <c r="E261" i="160"/>
  <c r="F261" i="160" s="1"/>
  <c r="E267" i="160"/>
  <c r="F267" i="160" s="1"/>
  <c r="E269" i="160"/>
  <c r="F269" i="160" s="1"/>
  <c r="E276" i="160"/>
  <c r="F276" i="160" s="1"/>
  <c r="E281" i="160"/>
  <c r="F281" i="160" s="1"/>
  <c r="E282" i="160"/>
  <c r="F282" i="160" s="1"/>
  <c r="E287" i="160"/>
  <c r="F287" i="160" s="1"/>
  <c r="E289" i="160"/>
  <c r="F289" i="160" s="1"/>
  <c r="E291" i="160"/>
  <c r="F291" i="160" s="1"/>
  <c r="E297" i="160"/>
  <c r="F297" i="160" s="1"/>
  <c r="E301" i="160"/>
  <c r="F301" i="160" s="1"/>
  <c r="E306" i="160"/>
  <c r="F306" i="160" s="1"/>
  <c r="E312" i="160"/>
  <c r="F312" i="160" s="1"/>
  <c r="E314" i="160"/>
  <c r="F314" i="160" s="1"/>
  <c r="E316" i="160"/>
  <c r="F316" i="160" s="1"/>
  <c r="E321" i="160"/>
  <c r="F321" i="160" s="1"/>
  <c r="E322" i="160"/>
  <c r="F322" i="160" s="1"/>
  <c r="E328" i="160"/>
  <c r="F328" i="160" s="1"/>
  <c r="E329" i="160"/>
  <c r="F329" i="160" s="1"/>
  <c r="E333" i="160"/>
  <c r="F333" i="160" s="1"/>
  <c r="E334" i="160"/>
  <c r="F334" i="160" s="1"/>
  <c r="E338" i="160"/>
  <c r="F338" i="160" s="1"/>
  <c r="E345" i="160"/>
  <c r="F345" i="160" s="1"/>
  <c r="E347" i="160"/>
  <c r="F347" i="160" s="1"/>
  <c r="E351" i="160"/>
  <c r="F351" i="160" s="1"/>
  <c r="E352" i="160"/>
  <c r="F352" i="160" s="1"/>
  <c r="E353" i="160"/>
  <c r="F353" i="160" s="1"/>
  <c r="E354" i="160"/>
  <c r="F354" i="160" s="1"/>
  <c r="E360" i="160"/>
  <c r="F360" i="160" s="1"/>
  <c r="E363" i="160"/>
  <c r="F363" i="160" s="1"/>
  <c r="F366" i="160"/>
  <c r="E367" i="160"/>
  <c r="F367" i="160" s="1"/>
  <c r="E368" i="160"/>
  <c r="F368" i="160" s="1"/>
  <c r="E373" i="160"/>
  <c r="F373" i="160" s="1"/>
  <c r="E374" i="160"/>
  <c r="F374" i="160" s="1"/>
  <c r="E377" i="160"/>
  <c r="F377" i="160" s="1"/>
  <c r="E379" i="160"/>
  <c r="F379" i="160" s="1"/>
  <c r="F380" i="160"/>
  <c r="E381" i="160"/>
  <c r="F381" i="160" s="1"/>
  <c r="E382" i="160"/>
  <c r="F382" i="160" s="1"/>
  <c r="E388" i="160"/>
  <c r="F388" i="160" s="1"/>
  <c r="E389" i="160"/>
  <c r="F389" i="160" s="1"/>
  <c r="E391" i="160"/>
  <c r="F391" i="160" s="1"/>
  <c r="F394" i="160"/>
  <c r="E395" i="160"/>
  <c r="F395" i="160" s="1"/>
  <c r="E396" i="160"/>
  <c r="F396" i="160" s="1"/>
  <c r="E402" i="160"/>
  <c r="F402" i="160" s="1"/>
  <c r="E409" i="160" l="1"/>
  <c r="F409" i="160" s="1"/>
  <c r="E428" i="160"/>
  <c r="F428" i="160" s="1"/>
  <c r="E446" i="160"/>
  <c r="F446" i="160" s="1"/>
  <c r="F447" i="160" s="1"/>
  <c r="E438" i="160"/>
  <c r="F438" i="160" s="1"/>
  <c r="E420" i="160"/>
  <c r="F420" i="160" s="1"/>
  <c r="E460" i="160"/>
  <c r="F460" i="160" s="1"/>
  <c r="F461" i="160" s="1"/>
  <c r="E419" i="160"/>
  <c r="F419" i="160" s="1"/>
  <c r="E410" i="160"/>
  <c r="F410" i="160" s="1"/>
  <c r="E452" i="160"/>
  <c r="F452" i="160" s="1"/>
  <c r="F470" i="160"/>
  <c r="F466" i="160"/>
  <c r="F467" i="160"/>
  <c r="E411" i="160"/>
  <c r="F411" i="160" s="1"/>
  <c r="E421" i="160"/>
  <c r="F421" i="160" s="1"/>
  <c r="E430" i="160"/>
  <c r="F430" i="160" s="1"/>
  <c r="E453" i="160"/>
  <c r="F453" i="160" s="1"/>
  <c r="E408" i="160"/>
  <c r="F408" i="160" s="1"/>
  <c r="E418" i="160"/>
  <c r="F418" i="160" s="1"/>
  <c r="E427" i="160"/>
  <c r="F427" i="160" s="1"/>
  <c r="E436" i="160"/>
  <c r="F436" i="160" s="1"/>
  <c r="F440" i="160" s="1"/>
  <c r="F464" i="160"/>
  <c r="F468" i="160"/>
  <c r="F469" i="160"/>
  <c r="F403" i="160"/>
  <c r="E34" i="160"/>
  <c r="F34" i="160" s="1"/>
  <c r="E84" i="160"/>
  <c r="F84" i="160" s="1"/>
  <c r="E184" i="160"/>
  <c r="F184" i="160" s="1"/>
  <c r="E304" i="160"/>
  <c r="F304" i="160" s="1"/>
  <c r="E349" i="160"/>
  <c r="F349" i="160" s="1"/>
  <c r="E50" i="160"/>
  <c r="F50" i="160" s="1"/>
  <c r="E64" i="160"/>
  <c r="F64" i="160" s="1"/>
  <c r="E26" i="160"/>
  <c r="F26" i="160" s="1"/>
  <c r="E76" i="160"/>
  <c r="E359" i="160"/>
  <c r="F359" i="160" s="1"/>
  <c r="E387" i="160"/>
  <c r="F387" i="160" s="1"/>
  <c r="E365" i="160"/>
  <c r="F365" i="160" s="1"/>
  <c r="E274" i="160"/>
  <c r="F274" i="160" s="1"/>
  <c r="E244" i="160"/>
  <c r="F244" i="160" s="1"/>
  <c r="E229" i="160"/>
  <c r="F229" i="160" s="1"/>
  <c r="E146" i="160"/>
  <c r="F146" i="160" s="1"/>
  <c r="E118" i="160"/>
  <c r="F118" i="160" s="1"/>
  <c r="E98" i="160"/>
  <c r="F98" i="160" s="1"/>
  <c r="E25" i="160"/>
  <c r="F25" i="160" s="1"/>
  <c r="E18" i="160"/>
  <c r="F18" i="160" s="1"/>
  <c r="E49" i="160"/>
  <c r="F49" i="160" s="1"/>
  <c r="E63" i="160"/>
  <c r="F63" i="160" s="1"/>
  <c r="E97" i="160"/>
  <c r="F97" i="160" s="1"/>
  <c r="E243" i="160"/>
  <c r="F243" i="160" s="1"/>
  <c r="E258" i="160"/>
  <c r="F258" i="160" s="1"/>
  <c r="E288" i="160"/>
  <c r="F288" i="160" s="1"/>
  <c r="E318" i="160"/>
  <c r="F318" i="160" s="1"/>
  <c r="E17" i="160"/>
  <c r="F17" i="160" s="1"/>
  <c r="E132" i="160"/>
  <c r="F132" i="160" s="1"/>
  <c r="E166" i="160"/>
  <c r="F166" i="160" s="1"/>
  <c r="E198" i="160"/>
  <c r="F198" i="160" s="1"/>
  <c r="E29" i="160"/>
  <c r="F29" i="160" s="1"/>
  <c r="E79" i="160"/>
  <c r="E179" i="160"/>
  <c r="F179" i="160" s="1"/>
  <c r="E299" i="160"/>
  <c r="F299" i="160" s="1"/>
  <c r="E13" i="160"/>
  <c r="F13" i="160" s="1"/>
  <c r="E45" i="160"/>
  <c r="F45" i="160" s="1"/>
  <c r="E59" i="160"/>
  <c r="F59" i="160" s="1"/>
  <c r="E112" i="160"/>
  <c r="F112" i="160" s="1"/>
  <c r="E194" i="160"/>
  <c r="F194" i="160" s="1"/>
  <c r="E266" i="160"/>
  <c r="F266" i="160" s="1"/>
  <c r="E296" i="160"/>
  <c r="F296" i="160" s="1"/>
  <c r="E206" i="160"/>
  <c r="F206" i="160" s="1"/>
  <c r="E16" i="160"/>
  <c r="F16" i="160" s="1"/>
  <c r="E32" i="160"/>
  <c r="F32" i="160" s="1"/>
  <c r="E165" i="160"/>
  <c r="F165" i="160" s="1"/>
  <c r="E182" i="160"/>
  <c r="F182" i="160" s="1"/>
  <c r="E197" i="160"/>
  <c r="F197" i="160" s="1"/>
  <c r="E272" i="160"/>
  <c r="F272" i="160" s="1"/>
  <c r="E302" i="160"/>
  <c r="F302" i="160" s="1"/>
  <c r="E116" i="160"/>
  <c r="F116" i="160" s="1"/>
  <c r="E148" i="160"/>
  <c r="F148" i="160" s="1"/>
  <c r="E212" i="160"/>
  <c r="F212" i="160" s="1"/>
  <c r="E227" i="160"/>
  <c r="F227" i="160" s="1"/>
  <c r="E95" i="160"/>
  <c r="F95" i="160" s="1"/>
  <c r="E147" i="160"/>
  <c r="F147" i="160" s="1"/>
  <c r="E211" i="160"/>
  <c r="F211" i="160" s="1"/>
  <c r="E226" i="160"/>
  <c r="F226" i="160" s="1"/>
  <c r="E241" i="160"/>
  <c r="F241" i="160" s="1"/>
  <c r="E81" i="160"/>
  <c r="F81" i="160" s="1"/>
  <c r="E130" i="160"/>
  <c r="F130" i="160" s="1"/>
  <c r="E375" i="160"/>
  <c r="F375" i="160" s="1"/>
  <c r="E332" i="160"/>
  <c r="F332" i="160" s="1"/>
  <c r="E327" i="160"/>
  <c r="F327" i="160" s="1"/>
  <c r="E319" i="160"/>
  <c r="F319" i="160" s="1"/>
  <c r="E303" i="160"/>
  <c r="F303" i="160" s="1"/>
  <c r="E286" i="160"/>
  <c r="F286" i="160" s="1"/>
  <c r="E273" i="160"/>
  <c r="F273" i="160" s="1"/>
  <c r="E256" i="160"/>
  <c r="F256" i="160" s="1"/>
  <c r="E228" i="160"/>
  <c r="F228" i="160" s="1"/>
  <c r="E214" i="160"/>
  <c r="F214" i="160" s="1"/>
  <c r="E195" i="160"/>
  <c r="F195" i="160" s="1"/>
  <c r="E183" i="160"/>
  <c r="F183" i="160" s="1"/>
  <c r="E167" i="160"/>
  <c r="F167" i="160" s="1"/>
  <c r="E145" i="160"/>
  <c r="F145" i="160" s="1"/>
  <c r="E117" i="160"/>
  <c r="F117" i="160" s="1"/>
  <c r="E62" i="160"/>
  <c r="F62" i="160" s="1"/>
  <c r="E42" i="160"/>
  <c r="F42" i="160" s="1"/>
  <c r="E15" i="160"/>
  <c r="F15" i="160" s="1"/>
  <c r="E393" i="160"/>
  <c r="F393" i="160" s="1"/>
  <c r="E343" i="160"/>
  <c r="F343" i="160" s="1"/>
  <c r="E335" i="160"/>
  <c r="F335" i="160" s="1"/>
  <c r="E330" i="160"/>
  <c r="F330" i="160" s="1"/>
  <c r="E317" i="160"/>
  <c r="F317" i="160" s="1"/>
  <c r="E311" i="160"/>
  <c r="F311" i="160" s="1"/>
  <c r="E305" i="160"/>
  <c r="F305" i="160" s="1"/>
  <c r="E284" i="160"/>
  <c r="F284" i="160" s="1"/>
  <c r="E271" i="160"/>
  <c r="F271" i="160" s="1"/>
  <c r="E254" i="160"/>
  <c r="F254" i="160" s="1"/>
  <c r="E239" i="160"/>
  <c r="F239" i="160" s="1"/>
  <c r="E236" i="160"/>
  <c r="F236" i="160" s="1"/>
  <c r="E225" i="160"/>
  <c r="F225" i="160" s="1"/>
  <c r="E221" i="160"/>
  <c r="F221" i="160" s="1"/>
  <c r="E213" i="160"/>
  <c r="F213" i="160" s="1"/>
  <c r="E164" i="160"/>
  <c r="F164" i="160" s="1"/>
  <c r="E150" i="160"/>
  <c r="F150" i="160" s="1"/>
  <c r="E133" i="160"/>
  <c r="F133" i="160" s="1"/>
  <c r="E128" i="160"/>
  <c r="F128" i="160" s="1"/>
  <c r="E114" i="160"/>
  <c r="F114" i="160" s="1"/>
  <c r="E96" i="160"/>
  <c r="F96" i="160" s="1"/>
  <c r="E83" i="160"/>
  <c r="F83" i="160" s="1"/>
  <c r="E61" i="160"/>
  <c r="F61" i="160" s="1"/>
  <c r="E48" i="160"/>
  <c r="F48" i="160" s="1"/>
  <c r="E33" i="160"/>
  <c r="F33" i="160" s="1"/>
  <c r="E313" i="160"/>
  <c r="F313" i="160" s="1"/>
  <c r="E283" i="160"/>
  <c r="F283" i="160" s="1"/>
  <c r="E253" i="160"/>
  <c r="F253" i="160" s="1"/>
  <c r="E193" i="160"/>
  <c r="F193" i="160" s="1"/>
  <c r="E111" i="160"/>
  <c r="E44" i="160"/>
  <c r="F44" i="160" s="1"/>
  <c r="E60" i="160"/>
  <c r="F60" i="160" s="1"/>
  <c r="E163" i="160"/>
  <c r="F163" i="160" s="1"/>
  <c r="E180" i="160"/>
  <c r="F180" i="160" s="1"/>
  <c r="E240" i="160"/>
  <c r="F240" i="160" s="1"/>
  <c r="E300" i="160"/>
  <c r="F300" i="160" s="1"/>
  <c r="E30" i="160"/>
  <c r="F30" i="160" s="1"/>
  <c r="E94" i="160"/>
  <c r="F94" i="160" s="1"/>
  <c r="E129" i="160"/>
  <c r="F129" i="160" s="1"/>
  <c r="E210" i="160"/>
  <c r="F210" i="160" s="1"/>
  <c r="E270" i="160"/>
  <c r="F270" i="160" s="1"/>
  <c r="E390" i="160"/>
  <c r="F390" i="160" s="1"/>
  <c r="E376" i="160"/>
  <c r="F376" i="160" s="1"/>
  <c r="E362" i="160"/>
  <c r="F362" i="160" s="1"/>
  <c r="E46" i="160"/>
  <c r="F46" i="160" s="1"/>
  <c r="E348" i="160"/>
  <c r="F348" i="160" s="1"/>
  <c r="E315" i="160"/>
  <c r="F315" i="160" s="1"/>
  <c r="E285" i="160"/>
  <c r="F285" i="160" s="1"/>
  <c r="E58" i="160"/>
  <c r="F58" i="160" s="1"/>
  <c r="E161" i="160"/>
  <c r="F161" i="160" s="1"/>
  <c r="E178" i="160"/>
  <c r="F178" i="160" s="1"/>
  <c r="E238" i="160"/>
  <c r="F238" i="160" s="1"/>
  <c r="E298" i="160"/>
  <c r="F298" i="160" s="1"/>
  <c r="E28" i="160"/>
  <c r="F28" i="160" s="1"/>
  <c r="E92" i="160"/>
  <c r="F92" i="160" s="1"/>
  <c r="E127" i="160"/>
  <c r="F127" i="160" s="1"/>
  <c r="E208" i="160"/>
  <c r="F208" i="160" s="1"/>
  <c r="E268" i="160"/>
  <c r="F268" i="160" s="1"/>
  <c r="E67" i="160"/>
  <c r="F67" i="160" s="1"/>
  <c r="E100" i="160"/>
  <c r="F100" i="160" s="1"/>
  <c r="E135" i="160"/>
  <c r="F135" i="160" s="1"/>
  <c r="E392" i="160"/>
  <c r="F392" i="160" s="1"/>
  <c r="E378" i="160"/>
  <c r="F378" i="160" s="1"/>
  <c r="E331" i="160"/>
  <c r="F331" i="160" s="1"/>
  <c r="E255" i="160"/>
  <c r="F255" i="160" s="1"/>
  <c r="E80" i="160"/>
  <c r="E615" i="155"/>
  <c r="E614" i="155"/>
  <c r="E612" i="155"/>
  <c r="E606" i="155"/>
  <c r="E588" i="155"/>
  <c r="E587" i="155"/>
  <c r="E582" i="155"/>
  <c r="E577" i="155"/>
  <c r="E571" i="155"/>
  <c r="E565" i="155"/>
  <c r="E563" i="155"/>
  <c r="E558" i="155"/>
  <c r="E553" i="155"/>
  <c r="E557" i="155"/>
  <c r="E552" i="155"/>
  <c r="E548" i="155"/>
  <c r="E547" i="155"/>
  <c r="E413" i="155"/>
  <c r="F413" i="155" s="1"/>
  <c r="E408" i="155"/>
  <c r="F408" i="155" s="1"/>
  <c r="E403" i="155"/>
  <c r="F403" i="155" s="1"/>
  <c r="E397" i="155"/>
  <c r="F397" i="155" s="1"/>
  <c r="E392" i="155"/>
  <c r="F392" i="155" s="1"/>
  <c r="E387" i="155"/>
  <c r="F387" i="155" s="1"/>
  <c r="E386" i="155"/>
  <c r="F386" i="155" s="1"/>
  <c r="E385" i="155"/>
  <c r="F385" i="155" s="1"/>
  <c r="E384" i="155"/>
  <c r="F384" i="155" s="1"/>
  <c r="E543" i="155"/>
  <c r="E537" i="155"/>
  <c r="E532" i="155"/>
  <c r="E526" i="155"/>
  <c r="E520" i="155"/>
  <c r="E514" i="155"/>
  <c r="E508" i="155"/>
  <c r="E501" i="155"/>
  <c r="E495" i="155"/>
  <c r="E477" i="155"/>
  <c r="E488" i="155"/>
  <c r="E482" i="155"/>
  <c r="E475" i="155"/>
  <c r="E471" i="155"/>
  <c r="E469" i="155"/>
  <c r="E465" i="155"/>
  <c r="E459" i="155"/>
  <c r="E463" i="155"/>
  <c r="E457" i="155"/>
  <c r="E452" i="155"/>
  <c r="E450" i="155"/>
  <c r="E446" i="155"/>
  <c r="E444" i="155"/>
  <c r="E440" i="155"/>
  <c r="E438" i="155"/>
  <c r="E434" i="155"/>
  <c r="E432" i="155"/>
  <c r="F433" i="155"/>
  <c r="E427" i="155"/>
  <c r="E425" i="155"/>
  <c r="E421" i="155"/>
  <c r="E419" i="155"/>
  <c r="F439" i="155"/>
  <c r="F445" i="155"/>
  <c r="F451" i="155"/>
  <c r="F458" i="155"/>
  <c r="F464" i="155"/>
  <c r="F470" i="155"/>
  <c r="E380" i="155"/>
  <c r="E379" i="155"/>
  <c r="E378" i="155"/>
  <c r="E374" i="155"/>
  <c r="E373" i="155"/>
  <c r="E372" i="155"/>
  <c r="E368" i="155"/>
  <c r="E366" i="155"/>
  <c r="E365" i="155"/>
  <c r="E367" i="155"/>
  <c r="E332" i="155"/>
  <c r="E331" i="155"/>
  <c r="E360" i="155"/>
  <c r="E358" i="155"/>
  <c r="E357" i="155"/>
  <c r="E359" i="155"/>
  <c r="E323" i="155"/>
  <c r="E322" i="155"/>
  <c r="E348" i="155"/>
  <c r="E349" i="155"/>
  <c r="E350" i="155"/>
  <c r="E351" i="155"/>
  <c r="E343" i="155"/>
  <c r="E342" i="155"/>
  <c r="E341" i="155"/>
  <c r="E340" i="155"/>
  <c r="E335" i="155"/>
  <c r="E334" i="155"/>
  <c r="E333" i="155"/>
  <c r="E326" i="155"/>
  <c r="E325" i="155"/>
  <c r="E317" i="155"/>
  <c r="E324" i="155"/>
  <c r="E318" i="155"/>
  <c r="E344" i="155" s="1"/>
  <c r="E352" i="155" s="1"/>
  <c r="E316" i="155"/>
  <c r="E315" i="155"/>
  <c r="E314" i="155"/>
  <c r="E310" i="155"/>
  <c r="E308" i="155"/>
  <c r="F295" i="155"/>
  <c r="F303" i="155"/>
  <c r="F302" i="155"/>
  <c r="C301" i="155"/>
  <c r="C300" i="155"/>
  <c r="C299" i="155"/>
  <c r="E285" i="155"/>
  <c r="E284" i="155"/>
  <c r="C281" i="155"/>
  <c r="E271" i="155"/>
  <c r="F271" i="155" s="1"/>
  <c r="E272" i="155"/>
  <c r="F272" i="155" s="1"/>
  <c r="F431" i="160" l="1"/>
  <c r="F455" i="160"/>
  <c r="F412" i="160"/>
  <c r="F422" i="160"/>
  <c r="F474" i="160"/>
  <c r="F476" i="160" s="1"/>
  <c r="F80" i="160"/>
  <c r="F111" i="160"/>
  <c r="F121" i="160" s="1"/>
  <c r="F79" i="160"/>
  <c r="F76" i="160"/>
  <c r="F262" i="160"/>
  <c r="F339" i="160"/>
  <c r="F155" i="160"/>
  <c r="F292" i="160"/>
  <c r="F217" i="160"/>
  <c r="F307" i="160"/>
  <c r="F70" i="160"/>
  <c r="F52" i="160"/>
  <c r="F36" i="160"/>
  <c r="F20" i="160"/>
  <c r="F202" i="160"/>
  <c r="F232" i="160"/>
  <c r="F369" i="160"/>
  <c r="F323" i="160"/>
  <c r="F103" i="160"/>
  <c r="F247" i="160"/>
  <c r="F187" i="160"/>
  <c r="F277" i="160"/>
  <c r="F355" i="160"/>
  <c r="F138" i="160"/>
  <c r="F383" i="160"/>
  <c r="F172" i="160"/>
  <c r="F397" i="160"/>
  <c r="F388" i="155"/>
  <c r="F285" i="155"/>
  <c r="F284" i="155"/>
  <c r="F283" i="155"/>
  <c r="E282" i="155"/>
  <c r="F282" i="155" s="1"/>
  <c r="E281" i="155"/>
  <c r="F281" i="155" s="1"/>
  <c r="E280" i="155"/>
  <c r="F280" i="155" s="1"/>
  <c r="E279" i="155"/>
  <c r="F279" i="155" s="1"/>
  <c r="E278" i="155"/>
  <c r="F278" i="155" s="1"/>
  <c r="E277" i="155"/>
  <c r="F277" i="155" s="1"/>
  <c r="E276" i="155"/>
  <c r="F276" i="155" s="1"/>
  <c r="E275" i="155"/>
  <c r="F275" i="155" s="1"/>
  <c r="E274" i="155"/>
  <c r="F274" i="155" s="1"/>
  <c r="E273" i="155"/>
  <c r="F273" i="155" s="1"/>
  <c r="E266" i="155"/>
  <c r="E265" i="155"/>
  <c r="E256" i="155"/>
  <c r="E247" i="155"/>
  <c r="E245" i="155"/>
  <c r="E246" i="155"/>
  <c r="E240" i="155"/>
  <c r="E239" i="155"/>
  <c r="E238" i="155"/>
  <c r="E234" i="155"/>
  <c r="E233" i="155"/>
  <c r="E232" i="155"/>
  <c r="E228" i="155"/>
  <c r="E225" i="155"/>
  <c r="E218" i="155"/>
  <c r="E217" i="155"/>
  <c r="E216" i="155"/>
  <c r="E211" i="155"/>
  <c r="E210" i="155"/>
  <c r="E204" i="155"/>
  <c r="E205" i="155"/>
  <c r="E203" i="155"/>
  <c r="E202" i="155"/>
  <c r="E201" i="155"/>
  <c r="E200" i="155"/>
  <c r="E199" i="155"/>
  <c r="E198" i="155"/>
  <c r="E197" i="155"/>
  <c r="E196" i="155"/>
  <c r="E195" i="155"/>
  <c r="E188" i="155"/>
  <c r="E189" i="155"/>
  <c r="E175" i="155"/>
  <c r="E187" i="155"/>
  <c r="E173" i="155"/>
  <c r="E186" i="155"/>
  <c r="E185" i="155"/>
  <c r="E184" i="155"/>
  <c r="E183" i="155"/>
  <c r="E182" i="155"/>
  <c r="E181" i="155"/>
  <c r="E180" i="155"/>
  <c r="E179" i="155"/>
  <c r="E167" i="155"/>
  <c r="E169" i="155"/>
  <c r="E168" i="155"/>
  <c r="E174" i="155"/>
  <c r="E172" i="155"/>
  <c r="E171" i="155"/>
  <c r="E170" i="155"/>
  <c r="E166" i="155"/>
  <c r="E165" i="155"/>
  <c r="E160" i="155"/>
  <c r="E156" i="155"/>
  <c r="E148" i="155"/>
  <c r="E152" i="155"/>
  <c r="E143" i="155"/>
  <c r="E138" i="155"/>
  <c r="B138" i="155"/>
  <c r="E141" i="155"/>
  <c r="E140" i="155"/>
  <c r="E139" i="155"/>
  <c r="E128" i="155"/>
  <c r="E133" i="155"/>
  <c r="E123" i="155"/>
  <c r="E131" i="155"/>
  <c r="E130" i="155"/>
  <c r="E129" i="155"/>
  <c r="E121" i="155"/>
  <c r="E120" i="155"/>
  <c r="E119" i="155"/>
  <c r="E118" i="155"/>
  <c r="E111" i="155"/>
  <c r="E93" i="155"/>
  <c r="E109" i="155"/>
  <c r="E110" i="155"/>
  <c r="E108" i="155"/>
  <c r="E107" i="155"/>
  <c r="E100" i="155"/>
  <c r="E101" i="155"/>
  <c r="E91" i="155"/>
  <c r="E90" i="155"/>
  <c r="E475" i="160" l="1"/>
  <c r="F86" i="160"/>
  <c r="F286" i="155"/>
  <c r="E89" i="155"/>
  <c r="E82" i="155"/>
  <c r="E79" i="155"/>
  <c r="E78" i="155"/>
  <c r="E81" i="155"/>
  <c r="E80" i="155"/>
  <c r="E77" i="155"/>
  <c r="E76" i="155"/>
  <c r="E75" i="155"/>
  <c r="E74" i="155"/>
  <c r="E73" i="155"/>
  <c r="E72" i="155"/>
  <c r="E71" i="155"/>
  <c r="E68" i="155"/>
  <c r="E65" i="155"/>
  <c r="E67" i="155"/>
  <c r="E66" i="155"/>
  <c r="E63" i="155"/>
  <c r="E62" i="155"/>
  <c r="E61" i="155"/>
  <c r="E60" i="155"/>
  <c r="E59" i="155"/>
  <c r="E58" i="155"/>
  <c r="E57" i="155"/>
  <c r="E52" i="155"/>
  <c r="E51" i="155"/>
  <c r="E48" i="155"/>
  <c r="E45" i="155"/>
  <c r="E64" i="155"/>
  <c r="E49" i="155"/>
  <c r="E50" i="155"/>
  <c r="E53" i="155"/>
  <c r="E46" i="155"/>
  <c r="E44" i="155"/>
  <c r="E47" i="155"/>
  <c r="E43" i="155"/>
  <c r="E42" i="155"/>
  <c r="E38" i="155"/>
  <c r="E37" i="155"/>
  <c r="E22" i="155"/>
  <c r="E21" i="155"/>
  <c r="E34" i="155"/>
  <c r="E33" i="155"/>
  <c r="E32" i="155"/>
  <c r="E31" i="155"/>
  <c r="E30" i="155"/>
  <c r="E29" i="155"/>
  <c r="E28" i="155"/>
  <c r="E27" i="155"/>
  <c r="E18" i="155"/>
  <c r="E17" i="155"/>
  <c r="E16" i="155"/>
  <c r="E15" i="155"/>
  <c r="E14" i="155"/>
  <c r="E13" i="155"/>
  <c r="E12" i="155"/>
  <c r="E11" i="155"/>
  <c r="E36" i="155"/>
  <c r="E35" i="155"/>
  <c r="E20" i="155" l="1"/>
  <c r="E19" i="155"/>
  <c r="F217" i="155"/>
  <c r="F216" i="155"/>
  <c r="F211" i="155"/>
  <c r="F210" i="155"/>
  <c r="F205" i="155"/>
  <c r="F204" i="155"/>
  <c r="F219" i="155"/>
  <c r="F218" i="155"/>
  <c r="F212" i="155"/>
  <c r="F203" i="155"/>
  <c r="F202" i="155"/>
  <c r="F201" i="155"/>
  <c r="F200" i="155"/>
  <c r="F199" i="155"/>
  <c r="F198" i="155"/>
  <c r="F197" i="155"/>
  <c r="F196" i="155"/>
  <c r="F195" i="155"/>
  <c r="F189" i="155"/>
  <c r="F188" i="155"/>
  <c r="F187" i="155"/>
  <c r="F186" i="155"/>
  <c r="F185" i="155"/>
  <c r="F184" i="155"/>
  <c r="F183" i="155"/>
  <c r="F182" i="155"/>
  <c r="F181" i="155"/>
  <c r="F180" i="155"/>
  <c r="F179" i="155"/>
  <c r="F175" i="155"/>
  <c r="F174" i="155"/>
  <c r="F173" i="155"/>
  <c r="F172" i="155"/>
  <c r="F171" i="155"/>
  <c r="F170" i="155"/>
  <c r="F169" i="155"/>
  <c r="F168" i="155"/>
  <c r="F167" i="155"/>
  <c r="F166" i="155"/>
  <c r="F165" i="155"/>
  <c r="F160" i="155"/>
  <c r="F159" i="155"/>
  <c r="F158" i="155"/>
  <c r="F157" i="155"/>
  <c r="F156" i="155"/>
  <c r="F152" i="155"/>
  <c r="F151" i="155"/>
  <c r="F150" i="155"/>
  <c r="F149" i="155"/>
  <c r="F148" i="155"/>
  <c r="F143" i="155"/>
  <c r="F228" i="155"/>
  <c r="F227" i="155"/>
  <c r="F226" i="155"/>
  <c r="F225" i="155"/>
  <c r="F144" i="155"/>
  <c r="F142" i="155"/>
  <c r="F141" i="155"/>
  <c r="F140" i="155"/>
  <c r="F139" i="155"/>
  <c r="F138" i="155"/>
  <c r="F134" i="155"/>
  <c r="F133" i="155"/>
  <c r="F132" i="155"/>
  <c r="F131" i="155"/>
  <c r="F130" i="155"/>
  <c r="F129" i="155"/>
  <c r="F128" i="155"/>
  <c r="F153" i="155" l="1"/>
  <c r="F161" i="155"/>
  <c r="F220" i="155"/>
  <c r="F213" i="155"/>
  <c r="F206" i="155"/>
  <c r="F176" i="155"/>
  <c r="F190" i="155"/>
  <c r="F135" i="155"/>
  <c r="F145" i="155"/>
  <c r="F229" i="155"/>
  <c r="D136" i="157"/>
  <c r="D77" i="157"/>
  <c r="D39" i="157"/>
  <c r="D66" i="156"/>
  <c r="E518" i="155" s="1"/>
  <c r="D65" i="156"/>
  <c r="E512" i="155" s="1"/>
  <c r="D64" i="156"/>
  <c r="D63" i="156"/>
  <c r="D62" i="156"/>
  <c r="D61" i="156"/>
  <c r="D60" i="156"/>
  <c r="E535" i="155" s="1"/>
  <c r="D59" i="156"/>
  <c r="D58" i="156"/>
  <c r="E486" i="155" s="1"/>
  <c r="D57" i="156"/>
  <c r="E493" i="155" s="1"/>
  <c r="D56" i="156"/>
  <c r="E499" i="155" s="1"/>
  <c r="E530" i="155" l="1"/>
  <c r="E402" i="155"/>
  <c r="F402" i="155" s="1"/>
  <c r="F404" i="155" s="1"/>
  <c r="D137" i="157"/>
  <c r="E572" i="155"/>
  <c r="E396" i="155"/>
  <c r="F396" i="155" s="1"/>
  <c r="F398" i="155" s="1"/>
  <c r="E506" i="155"/>
  <c r="E524" i="155"/>
  <c r="E391" i="155"/>
  <c r="F391" i="155" s="1"/>
  <c r="F393" i="155" s="1"/>
  <c r="E480" i="155"/>
  <c r="E412" i="155"/>
  <c r="F412" i="155" s="1"/>
  <c r="F414" i="155" s="1"/>
  <c r="E407" i="155"/>
  <c r="F407" i="155" s="1"/>
  <c r="F409" i="155" s="1"/>
  <c r="E541" i="155"/>
  <c r="D172" i="156"/>
  <c r="D170" i="156"/>
  <c r="D167" i="156"/>
  <c r="E599" i="155" s="1"/>
  <c r="D166" i="156"/>
  <c r="D165" i="156"/>
  <c r="D138" i="157" l="1"/>
  <c r="E578" i="155"/>
  <c r="E566" i="155"/>
  <c r="D139" i="157" l="1"/>
  <c r="E564" i="155"/>
  <c r="E583" i="155"/>
  <c r="A7" i="156" l="1"/>
  <c r="A8" i="156" s="1"/>
  <c r="A9" i="156" s="1"/>
  <c r="A10" i="156" s="1"/>
  <c r="A11" i="156" s="1"/>
  <c r="A12" i="156" s="1"/>
  <c r="A13" i="156" s="1"/>
  <c r="A14" i="156" s="1"/>
  <c r="A15" i="156" s="1"/>
  <c r="A16" i="156" s="1"/>
  <c r="A17" i="156" s="1"/>
  <c r="A18" i="156" s="1"/>
  <c r="A19" i="156" s="1"/>
  <c r="A20" i="156" s="1"/>
  <c r="A21" i="156" s="1"/>
  <c r="A22" i="156" s="1"/>
  <c r="A23" i="156" l="1"/>
  <c r="A26" i="156" s="1"/>
  <c r="A27" i="156" l="1"/>
  <c r="A28" i="156" l="1"/>
  <c r="A29" i="156" s="1"/>
  <c r="A30" i="156" s="1"/>
  <c r="A31" i="156" s="1"/>
  <c r="A32" i="156" s="1"/>
  <c r="A33" i="156" s="1"/>
  <c r="A34" i="156" s="1"/>
  <c r="A35" i="156" s="1"/>
  <c r="A36" i="156" s="1"/>
  <c r="A37" i="156" s="1"/>
  <c r="A38" i="156" s="1"/>
  <c r="A39" i="156" s="1"/>
  <c r="A40" i="156" s="1"/>
  <c r="A41" i="156" s="1"/>
  <c r="A42" i="156" s="1"/>
  <c r="A43" i="156" s="1"/>
  <c r="A44" i="156" s="1"/>
  <c r="A45" i="156" s="1"/>
  <c r="A46" i="156" s="1"/>
  <c r="A47" i="156" s="1"/>
  <c r="A48" i="156" s="1"/>
  <c r="A49" i="156" s="1"/>
  <c r="A50" i="156" s="1"/>
  <c r="A51" i="156" s="1"/>
  <c r="A52" i="156" s="1"/>
  <c r="A53" i="156" s="1"/>
  <c r="A56" i="156" l="1"/>
  <c r="A57" i="156" s="1"/>
  <c r="A58" i="156" s="1"/>
  <c r="A59" i="156" s="1"/>
  <c r="A60" i="156" s="1"/>
  <c r="A61" i="156" s="1"/>
  <c r="A62" i="156" s="1"/>
  <c r="A63" i="156" s="1"/>
  <c r="A64" i="156" s="1"/>
  <c r="A65" i="156" s="1"/>
  <c r="A66" i="156" s="1"/>
  <c r="A69" i="156" s="1"/>
  <c r="A70" i="156" s="1"/>
  <c r="A71" i="156" s="1"/>
  <c r="A72" i="156" s="1"/>
  <c r="A73" i="156" s="1"/>
  <c r="A74" i="156" s="1"/>
  <c r="A75" i="156" s="1"/>
  <c r="A76" i="156" s="1"/>
  <c r="A79" i="156" s="1"/>
  <c r="A80" i="156" s="1"/>
  <c r="A81" i="156" s="1"/>
  <c r="A82" i="156" s="1"/>
  <c r="A83" i="156" s="1"/>
  <c r="A84" i="156" s="1"/>
  <c r="A85" i="156" s="1"/>
  <c r="A86" i="156" s="1"/>
  <c r="A87" i="156" s="1"/>
  <c r="A88" i="156" s="1"/>
  <c r="A89" i="156" s="1"/>
  <c r="A90" i="156" s="1"/>
  <c r="A91" i="156" s="1"/>
  <c r="A92" i="156" s="1"/>
  <c r="A93" i="156" s="1"/>
  <c r="A94" i="156" s="1"/>
  <c r="A95" i="156" s="1"/>
  <c r="A96" i="156" s="1"/>
  <c r="A97" i="156" s="1"/>
  <c r="A98" i="156" s="1"/>
  <c r="A99" i="156" s="1"/>
  <c r="A100" i="156" s="1"/>
  <c r="A101" i="156" s="1"/>
  <c r="A102" i="156" s="1"/>
  <c r="A103" i="156" s="1"/>
  <c r="A104" i="156" s="1"/>
  <c r="A105" i="156" s="1"/>
  <c r="A106" i="156" s="1"/>
  <c r="A107" i="156" s="1"/>
  <c r="A108" i="156" s="1"/>
  <c r="A109" i="156" s="1"/>
  <c r="A110" i="156" s="1"/>
  <c r="A111" i="156" s="1"/>
  <c r="A112" i="156" s="1"/>
  <c r="A113" i="156" s="1"/>
  <c r="A114" i="156" s="1"/>
  <c r="A115" i="156" s="1"/>
  <c r="A116" i="156" s="1"/>
  <c r="A117" i="156" s="1"/>
  <c r="A118" i="156" s="1"/>
  <c r="A119" i="156" s="1"/>
  <c r="A120" i="156" s="1"/>
  <c r="A121" i="156" s="1"/>
  <c r="A122" i="156" s="1"/>
  <c r="A123" i="156" s="1"/>
  <c r="A124" i="156" s="1"/>
  <c r="A125" i="156" s="1"/>
  <c r="A126" i="156" s="1"/>
  <c r="A127" i="156" s="1"/>
  <c r="A128" i="156" s="1"/>
  <c r="A131" i="156" l="1"/>
  <c r="A132" i="156" s="1"/>
  <c r="A133" i="156" s="1"/>
  <c r="A134" i="156" s="1"/>
  <c r="A135" i="156" s="1"/>
  <c r="A136" i="156" s="1"/>
  <c r="A137" i="156" s="1"/>
  <c r="A138" i="156" s="1"/>
  <c r="A139" i="156" s="1"/>
  <c r="A140" i="156" s="1"/>
  <c r="A141" i="156" s="1"/>
  <c r="A142" i="156" s="1"/>
  <c r="A143" i="156" s="1"/>
  <c r="A144" i="156" s="1"/>
  <c r="A145" i="156" s="1"/>
  <c r="A148" i="156" s="1"/>
  <c r="A149" i="156" s="1"/>
  <c r="A150" i="156" s="1"/>
  <c r="A151" i="156" s="1"/>
  <c r="A152" i="156" s="1"/>
  <c r="A153" i="156" s="1"/>
  <c r="A154" i="156" s="1"/>
  <c r="A155" i="156" s="1"/>
  <c r="A156" i="156" s="1"/>
  <c r="A157" i="156" s="1"/>
  <c r="A158" i="156" s="1"/>
  <c r="A159" i="156" s="1"/>
  <c r="A160" i="156" s="1"/>
  <c r="A161" i="156" s="1"/>
  <c r="A162" i="156" s="1"/>
  <c r="A163" i="156" s="1"/>
  <c r="A164" i="156" s="1"/>
  <c r="A165" i="156" s="1"/>
  <c r="A166" i="156" s="1"/>
  <c r="A167" i="156" s="1"/>
  <c r="A168" i="156" s="1"/>
  <c r="A169" i="156" s="1"/>
  <c r="A170" i="156" s="1"/>
  <c r="A171" i="156" s="1"/>
  <c r="A172" i="156" s="1"/>
  <c r="A173" i="156" s="1"/>
  <c r="A174" i="156" s="1"/>
  <c r="A175" i="156" s="1"/>
  <c r="A176" i="156" s="1"/>
  <c r="A177" i="156" s="1"/>
  <c r="A178" i="156" s="1"/>
  <c r="A179" i="156" s="1"/>
  <c r="A180" i="156" s="1"/>
  <c r="F615" i="155" l="1"/>
  <c r="F614" i="155"/>
  <c r="F613" i="155"/>
  <c r="F612" i="155"/>
  <c r="F607" i="155"/>
  <c r="F606" i="155"/>
  <c r="F601" i="155"/>
  <c r="F600" i="155"/>
  <c r="F595" i="155"/>
  <c r="F594" i="155"/>
  <c r="F593" i="155"/>
  <c r="F588" i="155"/>
  <c r="F583" i="155"/>
  <c r="F578" i="155"/>
  <c r="F572" i="155"/>
  <c r="F566" i="155"/>
  <c r="F564" i="155"/>
  <c r="F558" i="155"/>
  <c r="F553" i="155"/>
  <c r="F548" i="155"/>
  <c r="F543" i="155"/>
  <c r="F542" i="155"/>
  <c r="F537" i="155"/>
  <c r="F536" i="155"/>
  <c r="F532" i="155"/>
  <c r="F531" i="155"/>
  <c r="F526" i="155"/>
  <c r="F525" i="155"/>
  <c r="F520" i="155"/>
  <c r="F519" i="155"/>
  <c r="F514" i="155"/>
  <c r="F513" i="155"/>
  <c r="F508" i="155"/>
  <c r="F507" i="155"/>
  <c r="F501" i="155"/>
  <c r="F500" i="155"/>
  <c r="F495" i="155"/>
  <c r="F494" i="155"/>
  <c r="F488" i="155"/>
  <c r="F487" i="155"/>
  <c r="F482" i="155"/>
  <c r="F481" i="155"/>
  <c r="F477" i="155"/>
  <c r="F476" i="155"/>
  <c r="F471" i="155"/>
  <c r="F465" i="155"/>
  <c r="F459" i="155"/>
  <c r="F457" i="155"/>
  <c r="F452" i="155"/>
  <c r="F446" i="155"/>
  <c r="F440" i="155"/>
  <c r="F434" i="155"/>
  <c r="F427" i="155"/>
  <c r="F426" i="155"/>
  <c r="F425" i="155"/>
  <c r="F421" i="155"/>
  <c r="F420" i="155"/>
  <c r="F419" i="155"/>
  <c r="F380" i="155"/>
  <c r="F379" i="155"/>
  <c r="F378" i="155"/>
  <c r="F374" i="155"/>
  <c r="F373" i="155"/>
  <c r="F372" i="155"/>
  <c r="F368" i="155"/>
  <c r="F367" i="155"/>
  <c r="F366" i="155"/>
  <c r="F360" i="155"/>
  <c r="F359" i="155"/>
  <c r="F358" i="155"/>
  <c r="F352" i="155"/>
  <c r="F351" i="155"/>
  <c r="F350" i="155"/>
  <c r="F349" i="155"/>
  <c r="F344" i="155"/>
  <c r="F343" i="155"/>
  <c r="F342" i="155"/>
  <c r="F341" i="155"/>
  <c r="F335" i="155"/>
  <c r="F334" i="155"/>
  <c r="F333" i="155"/>
  <c r="F332" i="155"/>
  <c r="F326" i="155"/>
  <c r="F325" i="155"/>
  <c r="F324" i="155"/>
  <c r="F323" i="155"/>
  <c r="F318" i="155"/>
  <c r="F317" i="155"/>
  <c r="F316" i="155"/>
  <c r="F315" i="155"/>
  <c r="F310" i="155"/>
  <c r="F309" i="155"/>
  <c r="F308" i="155"/>
  <c r="F292" i="155"/>
  <c r="C291" i="155"/>
  <c r="C290" i="155"/>
  <c r="C289" i="155"/>
  <c r="F266" i="155"/>
  <c r="F265" i="155"/>
  <c r="F264" i="155"/>
  <c r="E263" i="155"/>
  <c r="F263" i="155" s="1"/>
  <c r="E262" i="155"/>
  <c r="F262" i="155" s="1"/>
  <c r="E261" i="155"/>
  <c r="F261" i="155" s="1"/>
  <c r="E260" i="155"/>
  <c r="F260" i="155" s="1"/>
  <c r="E259" i="155"/>
  <c r="F259" i="155" s="1"/>
  <c r="E258" i="155"/>
  <c r="F258" i="155" s="1"/>
  <c r="E257" i="155"/>
  <c r="F257" i="155" s="1"/>
  <c r="F256" i="155"/>
  <c r="E255" i="155"/>
  <c r="F255" i="155" s="1"/>
  <c r="E254" i="155"/>
  <c r="F254" i="155" s="1"/>
  <c r="E253" i="155"/>
  <c r="F253" i="155" s="1"/>
  <c r="E252" i="155"/>
  <c r="F252" i="155" s="1"/>
  <c r="F247" i="155"/>
  <c r="F246" i="155"/>
  <c r="F245" i="155"/>
  <c r="F240" i="155"/>
  <c r="F239" i="155"/>
  <c r="F238" i="155"/>
  <c r="F234" i="155"/>
  <c r="F233" i="155"/>
  <c r="F232" i="155"/>
  <c r="F124" i="155"/>
  <c r="F123" i="155"/>
  <c r="F122" i="155"/>
  <c r="F121" i="155"/>
  <c r="F120" i="155"/>
  <c r="F119" i="155"/>
  <c r="F118" i="155"/>
  <c r="F112" i="155"/>
  <c r="F111" i="155"/>
  <c r="F110" i="155"/>
  <c r="F109" i="155"/>
  <c r="F108" i="155"/>
  <c r="F107" i="155"/>
  <c r="F106" i="155"/>
  <c r="F105" i="155"/>
  <c r="F101" i="155"/>
  <c r="F100" i="155"/>
  <c r="F99" i="155"/>
  <c r="F94" i="155"/>
  <c r="F93" i="155"/>
  <c r="F92" i="155"/>
  <c r="F91" i="155"/>
  <c r="F90" i="155"/>
  <c r="F89" i="155"/>
  <c r="F88" i="155"/>
  <c r="F87" i="155"/>
  <c r="F82" i="155"/>
  <c r="F81" i="155"/>
  <c r="F80" i="155"/>
  <c r="F77" i="155"/>
  <c r="F76" i="155"/>
  <c r="F75" i="155"/>
  <c r="F74" i="155"/>
  <c r="F73" i="155"/>
  <c r="F72" i="155"/>
  <c r="F71" i="155"/>
  <c r="F68" i="155"/>
  <c r="F67" i="155"/>
  <c r="F66" i="155"/>
  <c r="F63" i="155"/>
  <c r="F62" i="155"/>
  <c r="F61" i="155"/>
  <c r="F60" i="155"/>
  <c r="F59" i="155"/>
  <c r="F58" i="155"/>
  <c r="F57" i="155"/>
  <c r="F53" i="155"/>
  <c r="F52" i="155"/>
  <c r="F51" i="155"/>
  <c r="F50" i="155"/>
  <c r="F49" i="155"/>
  <c r="F48" i="155"/>
  <c r="F47" i="155"/>
  <c r="F46" i="155"/>
  <c r="F45" i="155"/>
  <c r="F44" i="155"/>
  <c r="F43" i="155"/>
  <c r="F42" i="155"/>
  <c r="F36" i="155"/>
  <c r="F34" i="155"/>
  <c r="F33" i="155"/>
  <c r="F32" i="155"/>
  <c r="F31" i="155"/>
  <c r="F30" i="155"/>
  <c r="F29" i="155"/>
  <c r="F28" i="155"/>
  <c r="F27" i="155"/>
  <c r="F20" i="155"/>
  <c r="F18" i="155"/>
  <c r="F17" i="155"/>
  <c r="F16" i="155"/>
  <c r="F15" i="155"/>
  <c r="F14" i="155"/>
  <c r="F13" i="155"/>
  <c r="F12" i="155"/>
  <c r="F11" i="155"/>
  <c r="F608" i="155" l="1"/>
  <c r="F267" i="155"/>
  <c r="F54" i="155"/>
  <c r="F422" i="155"/>
  <c r="F235" i="155"/>
  <c r="E294" i="155" s="1"/>
  <c r="F294" i="155" s="1"/>
  <c r="F248" i="155"/>
  <c r="F102" i="155"/>
  <c r="F311" i="155"/>
  <c r="E293" i="155" s="1"/>
  <c r="F293" i="155" s="1"/>
  <c r="F460" i="155"/>
  <c r="F375" i="155"/>
  <c r="F428" i="155"/>
  <c r="F596" i="155"/>
  <c r="F616" i="155"/>
  <c r="F113" i="155"/>
  <c r="F95" i="155"/>
  <c r="F241" i="155"/>
  <c r="F125" i="155"/>
  <c r="F381" i="155"/>
  <c r="F571" i="155" l="1"/>
  <c r="F573" i="155" s="1"/>
  <c r="F35" i="155" l="1"/>
  <c r="F39" i="155" s="1"/>
  <c r="F582" i="155" l="1"/>
  <c r="F584" i="155" s="1"/>
  <c r="F563" i="155"/>
  <c r="F518" i="155"/>
  <c r="F521" i="155" s="1"/>
  <c r="F475" i="155" l="1"/>
  <c r="F478" i="155" s="1"/>
  <c r="F314" i="155" l="1"/>
  <c r="F319" i="155" s="1"/>
  <c r="F432" i="155"/>
  <c r="F435" i="155" s="1"/>
  <c r="F65" i="155"/>
  <c r="F19" i="155"/>
  <c r="F24" i="155" s="1"/>
  <c r="F78" i="155"/>
  <c r="F64" i="155"/>
  <c r="F79" i="155"/>
  <c r="F83" i="155" l="1"/>
  <c r="F69" i="155"/>
  <c r="F450" i="155" l="1"/>
  <c r="F453" i="155" s="1"/>
  <c r="F512" i="155"/>
  <c r="F515" i="155" s="1"/>
  <c r="F599" i="155"/>
  <c r="F602" i="155" s="1"/>
  <c r="F480" i="155" l="1"/>
  <c r="F483" i="155" s="1"/>
  <c r="F499" i="155" l="1"/>
  <c r="F502" i="155" s="1"/>
  <c r="F486" i="155"/>
  <c r="F489" i="155" s="1"/>
  <c r="F493" i="155"/>
  <c r="F496" i="155" s="1"/>
  <c r="F530" i="155"/>
  <c r="F533" i="155" s="1"/>
  <c r="F535" i="155"/>
  <c r="F538" i="155" s="1"/>
  <c r="F348" i="155" l="1"/>
  <c r="F353" i="155" s="1"/>
  <c r="F444" i="155"/>
  <c r="F447" i="155" s="1"/>
  <c r="F541" i="155"/>
  <c r="F544" i="155" s="1"/>
  <c r="F547" i="155" l="1"/>
  <c r="F549" i="155" s="1"/>
  <c r="F577" i="155"/>
  <c r="F579" i="155" s="1"/>
  <c r="F565" i="155"/>
  <c r="E567" i="155" l="1"/>
  <c r="F567" i="155" s="1"/>
  <c r="F568" i="155" s="1"/>
  <c r="F587" i="155" l="1"/>
  <c r="F589" i="155" s="1"/>
  <c r="F506" i="155" l="1"/>
  <c r="F509" i="155" s="1"/>
  <c r="F524" i="155"/>
  <c r="F527" i="155" s="1"/>
  <c r="F340" i="155"/>
  <c r="F345" i="155" s="1"/>
  <c r="F438" i="155"/>
  <c r="F441" i="155" s="1"/>
  <c r="F357" i="155"/>
  <c r="F361" i="155" s="1"/>
  <c r="F469" i="155"/>
  <c r="F472" i="155" s="1"/>
  <c r="F322" i="155"/>
  <c r="F327" i="155" s="1"/>
  <c r="F463" i="155"/>
  <c r="F466" i="155" s="1"/>
  <c r="F365" i="155"/>
  <c r="F369" i="155" s="1"/>
  <c r="F331" i="155"/>
  <c r="F336" i="155" s="1"/>
  <c r="F552" i="155"/>
  <c r="F554" i="155" s="1"/>
  <c r="F557" i="155"/>
  <c r="E559" i="155" s="1"/>
  <c r="F559" i="155" s="1"/>
  <c r="F560" i="155" s="1"/>
  <c r="E299" i="155" l="1"/>
  <c r="F299" i="155" s="1"/>
  <c r="G34" i="167" l="1"/>
  <c r="E291" i="155"/>
  <c r="F291" i="155" s="1"/>
  <c r="E301" i="155"/>
  <c r="F301" i="155" s="1"/>
  <c r="G26" i="167"/>
  <c r="E289" i="155"/>
  <c r="F289" i="155" s="1"/>
  <c r="G40" i="167" l="1"/>
  <c r="G47" i="167" s="1"/>
  <c r="E290" i="155" l="1"/>
  <c r="F290" i="155" s="1"/>
  <c r="F296" i="155" s="1"/>
  <c r="E300" i="155"/>
  <c r="F300" i="155" s="1"/>
  <c r="F304" i="155" s="1"/>
  <c r="G59" i="167" l="1"/>
  <c r="G57" i="167"/>
  <c r="G60" i="167"/>
  <c r="G61" i="167"/>
  <c r="G54" i="167"/>
  <c r="G55" i="167" s="1"/>
  <c r="G58" i="167"/>
  <c r="G56" i="167"/>
  <c r="G67" i="167" l="1"/>
  <c r="G69" i="167" s="1"/>
</calcChain>
</file>

<file path=xl/sharedStrings.xml><?xml version="1.0" encoding="utf-8"?>
<sst xmlns="http://schemas.openxmlformats.org/spreadsheetml/2006/main" count="3256" uniqueCount="1161">
  <si>
    <t>bloques de 0.10 mts (4") TAVARES INDUSTRIAL, C. x  A. / AGUAYO</t>
  </si>
  <si>
    <t>LB</t>
  </si>
  <si>
    <t>niple niquelado 3/8" x 2½"</t>
  </si>
  <si>
    <t>reducción bushing de ½" A 3/8" HG.</t>
  </si>
  <si>
    <t>arandela sanitaria PVC de 3 ó 4"</t>
  </si>
  <si>
    <t>cubrefalta niquelado de 3/8"</t>
  </si>
  <si>
    <t>junta de CERA</t>
  </si>
  <si>
    <t>llave ANGULAR de 3/8"</t>
  </si>
  <si>
    <t>tornillos para inodoros</t>
  </si>
  <si>
    <t>tubo flexible plástico</t>
  </si>
  <si>
    <t>sifón drenaje 1½"</t>
  </si>
  <si>
    <t>boquilla para lavamanos</t>
  </si>
  <si>
    <t>MISCELANEOS</t>
  </si>
  <si>
    <t>madera pino americano bruta</t>
  </si>
  <si>
    <t>tarugos plásticoS 3/8"</t>
  </si>
  <si>
    <t>tornillo 3" x 14</t>
  </si>
  <si>
    <t>reducción PVC drenaje 2" A 1½"</t>
  </si>
  <si>
    <t>sifón doble de 1½" P/fregadero</t>
  </si>
  <si>
    <t>boquilla para fregadero</t>
  </si>
  <si>
    <t>codo PVC drenaje 4" x 90°</t>
  </si>
  <si>
    <t>cemento PVC</t>
  </si>
  <si>
    <t>sifón drenaje 2"</t>
  </si>
  <si>
    <t>rejilla roscada de 2" HG para piso</t>
  </si>
  <si>
    <t>desague de piso de 2 pulgadas (Incl. Parrilla)</t>
  </si>
  <si>
    <t>grava</t>
  </si>
  <si>
    <t>clavos corrientes con cabeza 2" en adelante</t>
  </si>
  <si>
    <t>plywood 3/4" (dos caras)</t>
  </si>
  <si>
    <t>instalación San. cámara de inspección en tubería de 3" y 4"</t>
  </si>
  <si>
    <t>codo PVC drenaje 3" x 90°</t>
  </si>
  <si>
    <t>codo ½" x 90° HG</t>
  </si>
  <si>
    <t>tubo ½" HG</t>
  </si>
  <si>
    <t>bañera liviana A color (A. standard) S/MEZCL.</t>
  </si>
  <si>
    <t>montura de bañera hierro corrientes de 30 x 60 Pulgada</t>
  </si>
  <si>
    <t>montura de mezcladora de baños</t>
  </si>
  <si>
    <t>Terminación de baños</t>
  </si>
  <si>
    <t>mezcladora S/manguera y S/BOQ. P/FREG. (SAyCO O GERBER)</t>
  </si>
  <si>
    <t>adaptador macho PVC presión ½"</t>
  </si>
  <si>
    <t>boquilla para lavadero</t>
  </si>
  <si>
    <t>llave de chorro de ½" (AMERICANA)</t>
  </si>
  <si>
    <t>montura de llaves de empotrar de ducha</t>
  </si>
  <si>
    <t>tee PVC drenaje 3"</t>
  </si>
  <si>
    <t>COSTO/UD</t>
  </si>
  <si>
    <t>COSTO/ML</t>
  </si>
  <si>
    <t>cubrefalta niquelado de ½"</t>
  </si>
  <si>
    <t>tornillo 1½" x 12</t>
  </si>
  <si>
    <t>acero3/8" x 20' - G40</t>
  </si>
  <si>
    <t>mano de obra</t>
  </si>
  <si>
    <t>PL</t>
  </si>
  <si>
    <t>VARIOS</t>
  </si>
  <si>
    <t>montura de accesorios empotrados</t>
  </si>
  <si>
    <t>Juego de Accesorios para Baño Servicio</t>
  </si>
  <si>
    <t>tubo 4" PVC SDR-41</t>
  </si>
  <si>
    <t xml:space="preserve">tee PVC drenaje 4" </t>
  </si>
  <si>
    <t>CANTIDAD</t>
  </si>
  <si>
    <t>ud</t>
  </si>
  <si>
    <t>PA</t>
  </si>
  <si>
    <t>m3</t>
  </si>
  <si>
    <t>m2</t>
  </si>
  <si>
    <t>UD</t>
  </si>
  <si>
    <t>CANT.</t>
  </si>
  <si>
    <t>ML</t>
  </si>
  <si>
    <t>VALOR</t>
  </si>
  <si>
    <t>ml</t>
  </si>
  <si>
    <t>M2</t>
  </si>
  <si>
    <t>MOVIMIENTO DE TIERRA</t>
  </si>
  <si>
    <t>QQ</t>
  </si>
  <si>
    <t>FDS</t>
  </si>
  <si>
    <t>GLS</t>
  </si>
  <si>
    <t>P2</t>
  </si>
  <si>
    <t>PLANCHA</t>
  </si>
  <si>
    <t>cemento gris</t>
  </si>
  <si>
    <t>arena gruesa ITABO (de mina)</t>
  </si>
  <si>
    <t>agua</t>
  </si>
  <si>
    <t>Gls</t>
  </si>
  <si>
    <t>arena FINA (para pañete)</t>
  </si>
  <si>
    <t>cal  (50 LBS)</t>
  </si>
  <si>
    <t>LBS</t>
  </si>
  <si>
    <t>alambre dulce #18</t>
  </si>
  <si>
    <t>Ud</t>
  </si>
  <si>
    <t>tubo 2" PVC SDR-41</t>
  </si>
  <si>
    <t>tubo 3" PVC SDR-41</t>
  </si>
  <si>
    <t>tubo 6" PVC SDR-41</t>
  </si>
  <si>
    <t>tubo 1" PVC Sch-40</t>
  </si>
  <si>
    <t>tubo 3/4" PVC Sch-40</t>
  </si>
  <si>
    <t>tubo 2" PVC Sch-40</t>
  </si>
  <si>
    <t>Cemento de PVC ABRO</t>
  </si>
  <si>
    <t>Adaptador hembra PVC presión 3/4"</t>
  </si>
  <si>
    <t>Reducción PVC presión 3/4" x ½"</t>
  </si>
  <si>
    <t>arandela sanitaria PVC de  4" X 4"</t>
  </si>
  <si>
    <t>tubo flexible plástico para inodoro</t>
  </si>
  <si>
    <t>tubo flexible plástico para lavamanos</t>
  </si>
  <si>
    <t>sifón drenaje 1½" para lavamanos</t>
  </si>
  <si>
    <t>llave de paso de bola de 3/4" europea</t>
  </si>
  <si>
    <t>llave de paso de bola de 1/2" europea</t>
  </si>
  <si>
    <t>llave de chorro cromada 1/2" para lavadora</t>
  </si>
  <si>
    <t>llave de paso de bola de 2" europea</t>
  </si>
  <si>
    <t>llave de paso de bola de 1" europea</t>
  </si>
  <si>
    <t>mezcladora S/manguera y S/BOQ. P/FREG. Tipo Sayco</t>
  </si>
  <si>
    <t>mezcladora 3 puños p/ducha Tipo sayco</t>
  </si>
  <si>
    <t>ducha con regadera completa</t>
  </si>
  <si>
    <t xml:space="preserve">Lavamanos Embajador  de empotrar A color </t>
  </si>
  <si>
    <t>fregadero doble  acero INOx. S/ACCS. NI MEZCL.</t>
  </si>
  <si>
    <t>Juego de accesorios para baños principales</t>
  </si>
  <si>
    <t>Juegos de accesorios para baños servicios</t>
  </si>
  <si>
    <t xml:space="preserve">Inodoro  simplex blco </t>
  </si>
  <si>
    <t>Jacuzzi interior (1.82 x 1.00)</t>
  </si>
  <si>
    <t>Botiquin Blanco de 2 Puertas</t>
  </si>
  <si>
    <t>jabonera niquelada de superficie</t>
  </si>
  <si>
    <t>PARTIDA</t>
  </si>
  <si>
    <t>PU</t>
  </si>
  <si>
    <t>TOTAL/PU</t>
  </si>
  <si>
    <t>PRELIMINARES</t>
  </si>
  <si>
    <t>EQUIPOS</t>
  </si>
  <si>
    <t>mezcladora</t>
  </si>
  <si>
    <t>montura de lavamanos especiales con pata y Pedestal</t>
  </si>
  <si>
    <t>Desague de piso 0 2" 1er. nivel</t>
  </si>
  <si>
    <t>montura de fregadero de acero inoxidable de 1 Cámara</t>
  </si>
  <si>
    <t xml:space="preserve"> tuberia y piezas incluyendo codo PVC drenaje 4" x 90°</t>
  </si>
  <si>
    <t>confección registroS, hasta de 60x60 cms. con tapa (MEDIDA interior)</t>
  </si>
  <si>
    <t xml:space="preserve"> Salida de Llave de lavadora</t>
  </si>
  <si>
    <t>llave cromada</t>
  </si>
  <si>
    <t>Tuberia y piezas</t>
  </si>
  <si>
    <t>Resane producto instalacion sanitaria</t>
  </si>
  <si>
    <t xml:space="preserve">instalación llave </t>
  </si>
  <si>
    <t>Lavadero Sencillo de granito blanco 1er. nivel</t>
  </si>
  <si>
    <t>montura de lavadero</t>
  </si>
  <si>
    <t>P.A.</t>
  </si>
  <si>
    <t>Terminación de lavadero  sin  vertederos</t>
  </si>
  <si>
    <t xml:space="preserve">tee PVC drenaje 3" </t>
  </si>
  <si>
    <t>Ventilación 0 3" (3.00 mts.) 1er. nivel</t>
  </si>
  <si>
    <t>Bañera liviana A color   con mezcladora 1er. nivel</t>
  </si>
  <si>
    <t>Desague automatico</t>
  </si>
  <si>
    <t>SUMINISTRO DE TUBO</t>
  </si>
  <si>
    <t>MANO DE OBRA</t>
  </si>
  <si>
    <t>instalación Ventilación de 3"</t>
  </si>
  <si>
    <t>Plafond en PVC</t>
  </si>
  <si>
    <t>pa</t>
  </si>
  <si>
    <t xml:space="preserve"> </t>
  </si>
  <si>
    <t>Pañete de yeso ATC</t>
  </si>
  <si>
    <t>Instalación inodoros fluxómetros</t>
  </si>
  <si>
    <t>Instalación inodoros sencillos</t>
  </si>
  <si>
    <t>Instalación orinal fluxómetro</t>
  </si>
  <si>
    <t>Instalación orinal sencillo</t>
  </si>
  <si>
    <t>Instalación lavamanos empotrados en meseta</t>
  </si>
  <si>
    <t>Instalación lavamanos con pedestal</t>
  </si>
  <si>
    <t>Instalación lavamanos corriente</t>
  </si>
  <si>
    <t>Instalación bañeras</t>
  </si>
  <si>
    <t>Instalación jacuzzi</t>
  </si>
  <si>
    <t>Instalación duchas hansgrohe</t>
  </si>
  <si>
    <t>Instalación fregadero doble</t>
  </si>
  <si>
    <t>Instalación fregadero sencillo</t>
  </si>
  <si>
    <t>Instalación lavadero sencillo</t>
  </si>
  <si>
    <t>Instalación lavadero doble</t>
  </si>
  <si>
    <t>Instalación calentador hasta 12 gls</t>
  </si>
  <si>
    <t>Instalacion de plato para ducha</t>
  </si>
  <si>
    <t>Colocación accesorios bano principal</t>
  </si>
  <si>
    <t>Colocación accesorios bano servicio</t>
  </si>
  <si>
    <t>Inst. desague 2"  para piso</t>
  </si>
  <si>
    <t>Inst. Salida de agua fría y caliente lavamanos</t>
  </si>
  <si>
    <t>Inst. Salida de agua fría y caliente calentador</t>
  </si>
  <si>
    <t>Inst. columna de agua fría 1/2"</t>
  </si>
  <si>
    <t xml:space="preserve">Inst. columna de agua fría 3/4" </t>
  </si>
  <si>
    <t>Inst. columna de agua fría 1"</t>
  </si>
  <si>
    <t>Inst. columna de agua fría 1 1/2"</t>
  </si>
  <si>
    <t>Inst. columna de agua fría 2"</t>
  </si>
  <si>
    <t xml:space="preserve">Instalación ventilación de 2" </t>
  </si>
  <si>
    <t xml:space="preserve">Instalación ventilación de 3" </t>
  </si>
  <si>
    <t xml:space="preserve">Instalación ventilación de 4" </t>
  </si>
  <si>
    <t>Instalación ventilación de 3" cuatro níveles</t>
  </si>
  <si>
    <t>Instalación tapón de registro 4"</t>
  </si>
  <si>
    <t>Instalación tapón de registro 3"</t>
  </si>
  <si>
    <t>Instalación de bajante 3" dos níveles</t>
  </si>
  <si>
    <t xml:space="preserve">Instalación de bajante 3" </t>
  </si>
  <si>
    <t xml:space="preserve">Instalación de bajante 4" </t>
  </si>
  <si>
    <t>Instalación de bajante pluvial 3"</t>
  </si>
  <si>
    <t>Instalación de bajante pluvial 4"</t>
  </si>
  <si>
    <t xml:space="preserve">Instalación de bajante pluvial 2" </t>
  </si>
  <si>
    <t>Instalación de bajante pluvial 3" cinco níveles</t>
  </si>
  <si>
    <t>Instalación de bajante pluvial 4" cuatro niveles</t>
  </si>
  <si>
    <t>Columna de agua fria ø 1" 3 niveles</t>
  </si>
  <si>
    <t>boca</t>
  </si>
  <si>
    <t>Instalación piezas pvc 3/4"</t>
  </si>
  <si>
    <t>Instalación piezas pvc 1"</t>
  </si>
  <si>
    <t>Instalación piezas pvc 1 1/2"</t>
  </si>
  <si>
    <t>Instalación piezas pvc 2"</t>
  </si>
  <si>
    <t>Instalación piezas pvc 3"</t>
  </si>
  <si>
    <t>Instalación piezas pvc 4"</t>
  </si>
  <si>
    <t>Colocacion tuberias de 11/2"</t>
  </si>
  <si>
    <t>Colocación de tee 8"</t>
  </si>
  <si>
    <t>Colocación codos 8"</t>
  </si>
  <si>
    <t>Conexión a registro</t>
  </si>
  <si>
    <t>p.a.</t>
  </si>
  <si>
    <t>Conexión a cloaca existente</t>
  </si>
  <si>
    <t>Instalacion de llave jardin de 1/2""</t>
  </si>
  <si>
    <t>Instalacion de valvula de 1/2"</t>
  </si>
  <si>
    <t>Instalacion de valvula de 3/4"</t>
  </si>
  <si>
    <t>Instalacion de valvula de 1"</t>
  </si>
  <si>
    <t>Instalacion de valvula de 11/2"</t>
  </si>
  <si>
    <t>Instalacion de valvula de 2"</t>
  </si>
  <si>
    <t>Instalacion de valvula de 3"</t>
  </si>
  <si>
    <t>Instalacion de valvula de 4"</t>
  </si>
  <si>
    <t>Salidas de agua potable de 1/2</t>
  </si>
  <si>
    <t>Salidas de agua potable de 3/4</t>
  </si>
  <si>
    <t>Colocacion tuberias de 11/2" galvanizada</t>
  </si>
  <si>
    <t>Colocacion tuberias de 2" galvanizada</t>
  </si>
  <si>
    <t>Colocacion tuberias de 2½" galvanizada</t>
  </si>
  <si>
    <t>Colocacion tuberias de 3" galvanizada</t>
  </si>
  <si>
    <t>Instalación piezas HG de 2"</t>
  </si>
  <si>
    <t>Instalación piezas HG de 1 1/2"</t>
  </si>
  <si>
    <t>Instalacion tapa cisterna</t>
  </si>
  <si>
    <t>Ventilacion de 2"</t>
  </si>
  <si>
    <t>Ventilacion de 3"</t>
  </si>
  <si>
    <t>Bajante pluvial de 3"</t>
  </si>
  <si>
    <t>Conexión de camaras y registros</t>
  </si>
  <si>
    <t>Limpieza general en lavamanos e inodoros</t>
  </si>
  <si>
    <t>Limpieza camara septica</t>
  </si>
  <si>
    <t>Limpieza y desinfeccion de cisterna</t>
  </si>
  <si>
    <t>Limpieza trampa de grasa</t>
  </si>
  <si>
    <t>tubo 8" PVC SDR-41</t>
  </si>
  <si>
    <t>tubo 1 1/2" PVC Sch-40</t>
  </si>
  <si>
    <t>tubo 1/2" PVC Sch-40</t>
  </si>
  <si>
    <t>tubo 3" PVC Sch-40</t>
  </si>
  <si>
    <t>codo PVC drenaje 2" x 90°</t>
  </si>
  <si>
    <t>codo HN 3"x 90''</t>
  </si>
  <si>
    <t xml:space="preserve">llave de paso de bola de 11/4" </t>
  </si>
  <si>
    <t>llave de paso de bola de 3" europea</t>
  </si>
  <si>
    <t>mezcladora Monomando  para fregadero</t>
  </si>
  <si>
    <t>mezcladora para lavamano cuarto servicio</t>
  </si>
  <si>
    <t>mezcladora Monomando para Lavamanos</t>
  </si>
  <si>
    <t>Lavamanos Lorentina Sadosa Blanco  C/Pedestal</t>
  </si>
  <si>
    <t>Lavamanos Toto Ovalado para Empotrar</t>
  </si>
  <si>
    <t>fregadero doble acero  INOx. S/ACCS. NI MEZCL.</t>
  </si>
  <si>
    <t>tapa inodoro royal A color</t>
  </si>
  <si>
    <t>Inodoro Sadosa Standard</t>
  </si>
  <si>
    <t>inodoro Toto soiree de una Pieza Blanco elongado</t>
  </si>
  <si>
    <t>inodoro Toto Carouso Elongado de 2 piezas</t>
  </si>
  <si>
    <t>Lavamanos sencillo blanco</t>
  </si>
  <si>
    <t>Lavadero doble de granito fondo blanco</t>
  </si>
  <si>
    <t>Lavadero Sencillo granito fondo blanco</t>
  </si>
  <si>
    <t>Revestimiento madera sabina</t>
  </si>
  <si>
    <t>Plafond sheet rock</t>
  </si>
  <si>
    <t>Tuberia Hierro Negro 3''</t>
  </si>
  <si>
    <t>Tuberia Hierro Negro 4''</t>
  </si>
  <si>
    <t>montura inodoros de una pieza</t>
  </si>
  <si>
    <t>Inodoro Sencillo</t>
  </si>
  <si>
    <t>Lavamano Lorentina sadosa Standard con pedestal</t>
  </si>
  <si>
    <t>Lavamano sadosa Standard con pedestal</t>
  </si>
  <si>
    <t>Lavamanos Sencillo Blanco Servicio</t>
  </si>
  <si>
    <t>Lavamanos Embajador blanco</t>
  </si>
  <si>
    <t>ducha con regadera</t>
  </si>
  <si>
    <t>Lavadero Sencillo de granito blanco 1er. Nivel</t>
  </si>
  <si>
    <t>Lavadero Doble de granito blanco 1er. nivel</t>
  </si>
  <si>
    <t>Mezcla 1:3</t>
  </si>
  <si>
    <t>Bloques de 0.10 m</t>
  </si>
  <si>
    <t xml:space="preserve">Ceramica </t>
  </si>
  <si>
    <t xml:space="preserve">Confección pileta de cerámica </t>
  </si>
  <si>
    <t>Tuberia  y Piezas</t>
  </si>
  <si>
    <t>llave  chorro 3/4"</t>
  </si>
  <si>
    <t xml:space="preserve">Bajante de descarga  y Pluvial 0 4"  </t>
  </si>
  <si>
    <t xml:space="preserve">instalación columna bajante </t>
  </si>
  <si>
    <t xml:space="preserve">Bajante de descarga   y  pluvial 0 3"  </t>
  </si>
  <si>
    <t>tubo 3" HN</t>
  </si>
  <si>
    <t>codo HNe 3" x 90°</t>
  </si>
  <si>
    <t>Tuberia de 3'' HN</t>
  </si>
  <si>
    <t>replanteo</t>
  </si>
  <si>
    <t xml:space="preserve">instalación llave de paso de 3/4" </t>
  </si>
  <si>
    <t>Llave de paso  3/4" 1er. nivel</t>
  </si>
  <si>
    <t>Llave de paso  2" 1er. nivel</t>
  </si>
  <si>
    <t>TUBERIA  Ø1/2" PVC PRESION (SCH-40)</t>
  </si>
  <si>
    <t>REPLANTEO</t>
  </si>
  <si>
    <t>Columna de agua potable  3" (3.00 mts) 1er. nivel</t>
  </si>
  <si>
    <t>instalación columna AGUA FRIA</t>
  </si>
  <si>
    <t>Columna de agua potable  2" (3.00 mts) 1er. nivel</t>
  </si>
  <si>
    <t>Fumigacion</t>
  </si>
  <si>
    <t>Columna de agua potable  3/4" (3.00 mts) 1er. nivel</t>
  </si>
  <si>
    <t>P.A</t>
  </si>
  <si>
    <t>Registro '  con   Arqueta y Tapa  Solarium 0.40 x0.40 para  Desague de piso 6''</t>
  </si>
  <si>
    <t>Codo de 2 "HG</t>
  </si>
  <si>
    <t>Codo de 4 "HG</t>
  </si>
  <si>
    <t>Tee 3 x 2 "HG</t>
  </si>
  <si>
    <t>Tee 4 x 3 "HG</t>
  </si>
  <si>
    <t xml:space="preserve">Impermeabilizante Macdrain Geocompuesto Drenante con instalacion en muros de Contención </t>
  </si>
  <si>
    <t>Tuberia 2 '' SDR-26</t>
  </si>
  <si>
    <t xml:space="preserve">Puerta plegadiza en bano de servicio  0.70 x2.20 m </t>
  </si>
  <si>
    <t>Vidrio  Fijo y marco de aluminio blanco</t>
  </si>
  <si>
    <t>Calentador de 30  gls</t>
  </si>
  <si>
    <t>Espejos para baños</t>
  </si>
  <si>
    <t>SUB-TOTAL</t>
  </si>
  <si>
    <t>Puerta de tola 0.90 x 2.10 mts</t>
  </si>
  <si>
    <t>Curva  2"de drenaje</t>
  </si>
  <si>
    <t>Curva  4" de drenaje</t>
  </si>
  <si>
    <t>Inst. desague 6"  para piso</t>
  </si>
  <si>
    <t>Confeccion  trampa de grasa</t>
  </si>
  <si>
    <t>tee PVC drenaje 2"</t>
  </si>
  <si>
    <t>Plato de ducha (1.20 x 0.80)</t>
  </si>
  <si>
    <t>Desague de Plato de ducha (1.20 x 0.80)</t>
  </si>
  <si>
    <t>Tuberia Hierro  2''</t>
  </si>
  <si>
    <t xml:space="preserve">Registro  0.40 x0.40 </t>
  </si>
  <si>
    <t xml:space="preserve"> Tapa  Solarium 0.40 x0.40 </t>
  </si>
  <si>
    <t>tubo 6" PVC SDR-26</t>
  </si>
  <si>
    <t>codo PVC drenaje 6" x 90°</t>
  </si>
  <si>
    <t xml:space="preserve">yee-tee PVC drenaje 6" </t>
  </si>
  <si>
    <t>tubo 8" PVC SDR-26</t>
  </si>
  <si>
    <t>codo PVC drenaje 8" x 90°</t>
  </si>
  <si>
    <t xml:space="preserve">yee-tee PVC drenaje 8" </t>
  </si>
  <si>
    <t>tubo 4" PVC SDR-26</t>
  </si>
  <si>
    <t>tubo 2" PVC SDR-26</t>
  </si>
  <si>
    <t>sifón drenaje 4"</t>
  </si>
  <si>
    <t>rejilla roscada de 4" HG para piso</t>
  </si>
  <si>
    <t>tubo 3" PVC SDR-26</t>
  </si>
  <si>
    <t>yee PVC drenaje 2 "  x 2"</t>
  </si>
  <si>
    <t>yee PVC drenaje 4 "  x 4"</t>
  </si>
  <si>
    <t>yee PVC drenaje 8 "  x 4"</t>
  </si>
  <si>
    <t>yee PVC drenaje 6 "  x 6"</t>
  </si>
  <si>
    <t>yee PVC drenaje 6 "  x 8"</t>
  </si>
  <si>
    <t>yee PVC drenaje 6 "  x 4"</t>
  </si>
  <si>
    <t>Tapon Registro  2"</t>
  </si>
  <si>
    <t>tubo 12" PVC SDR-26</t>
  </si>
  <si>
    <t>COLECTOR</t>
  </si>
  <si>
    <t>LISTADO DE SUBCONTRATOS</t>
  </si>
  <si>
    <t>P.U.</t>
  </si>
  <si>
    <t>Estuco a todo costo</t>
  </si>
  <si>
    <t>Marcos de madera</t>
  </si>
  <si>
    <t>Vent de madera a todo costo</t>
  </si>
  <si>
    <t>Baranda para escalera</t>
  </si>
  <si>
    <t>Baranda para escalera en entrada principal</t>
  </si>
  <si>
    <t>Pasamanos para escalera</t>
  </si>
  <si>
    <t>Muebles de baños</t>
  </si>
  <si>
    <t>Estrias en rampa vehicular a todo costo</t>
  </si>
  <si>
    <t>Puertas de Cristal fijo y marco de aluminio tipo comercial</t>
  </si>
  <si>
    <t>Puertas metalicas</t>
  </si>
  <si>
    <t>Porton Vehicular de hierro</t>
  </si>
  <si>
    <t>Pisos de marmol crema marfil, suministro, instalacion, pulido, a todo costo (ANTICATO)</t>
  </si>
  <si>
    <t>Zocalos de marmol crema marfil, suministro, instalacion, pulido, a todo costo (ANTICATO)</t>
  </si>
  <si>
    <t>Revestimientos de marmol crema marfil, suministro, instalacion, pulido, a todo costo (ANTICATO sin cotizacion)</t>
  </si>
  <si>
    <t>Tope de granito</t>
  </si>
  <si>
    <t>Gabinetes de piso</t>
  </si>
  <si>
    <t>Gabinetes de pared</t>
  </si>
  <si>
    <t>Cornisa en yeso en techo</t>
  </si>
  <si>
    <t xml:space="preserve">Plato de Ducha  </t>
  </si>
  <si>
    <t xml:space="preserve">montura de plato </t>
  </si>
  <si>
    <t>Desague de piso 0 4" 1er. nivel</t>
  </si>
  <si>
    <t>desague de piso de 4 pulgadas (Incl. Parrilla)</t>
  </si>
  <si>
    <t xml:space="preserve">Mano de obra desague de piso de 6 pulgadas </t>
  </si>
  <si>
    <t>Llave de chorro de 3/4"</t>
  </si>
  <si>
    <t xml:space="preserve">Bajante de descarga   y  pluvial 0 2"  </t>
  </si>
  <si>
    <t xml:space="preserve">tee PVC drenaje 2" </t>
  </si>
  <si>
    <t xml:space="preserve">Bajante de descarga   y  pluvial 0 6"  </t>
  </si>
  <si>
    <t xml:space="preserve">tee PVC drenaje 6" </t>
  </si>
  <si>
    <t xml:space="preserve">Bajante de descarga   y  pluvial 0 8"  </t>
  </si>
  <si>
    <t xml:space="preserve">tee PVC drenaje 8" </t>
  </si>
  <si>
    <t>Columna sistema contra incendios 3''</t>
  </si>
  <si>
    <t>instalación Columna de  3" HG</t>
  </si>
  <si>
    <t>Columna sistema contra incendios 4''</t>
  </si>
  <si>
    <t>tubo 4" HN</t>
  </si>
  <si>
    <t>codo HNe 4" x 90°</t>
  </si>
  <si>
    <t>instalación Columna de  4" HG</t>
  </si>
  <si>
    <t>Llave de paso  1" 1er. nivel</t>
  </si>
  <si>
    <t xml:space="preserve">instalación llave de paso de 1" </t>
  </si>
  <si>
    <t xml:space="preserve">instalación llave de paso de 2" </t>
  </si>
  <si>
    <t>COLECTOR MODULAR PARA INSTALACIONES DE AGUA SANITARIA 25 x 16 (GIACOFLEX)</t>
  </si>
  <si>
    <t xml:space="preserve">COLECTOR MODULAR </t>
  </si>
  <si>
    <t>INSTALACION</t>
  </si>
  <si>
    <t>Columna de agua potable  1" (3.00 mts) 1er. nivel</t>
  </si>
  <si>
    <t>tapón registro 0 2" 1er. nivel</t>
  </si>
  <si>
    <t>tapón P/registro PVC drenaje 2" completo</t>
  </si>
  <si>
    <t>adaptador registro PVC drenaje 2"</t>
  </si>
  <si>
    <t>Puertas de Polimetal</t>
  </si>
  <si>
    <t>Columna de agua potable pvc 3"</t>
  </si>
  <si>
    <t>Tuberia Polipropileno 1 1/2 '' AF y AC</t>
  </si>
  <si>
    <t>Puertas MDF hidrofuga enchapada en roble, incluye instalacion</t>
  </si>
  <si>
    <t>Juego de Accesorios para Baño principales</t>
  </si>
  <si>
    <t>Puertas y Ventanas corrrederas vidrio Claro y aluminio blanco</t>
  </si>
  <si>
    <t>Plato de Ducha  incluye regadera</t>
  </si>
  <si>
    <t>Mensajero Electrico</t>
  </si>
  <si>
    <t>Breaker G.E  20/1 THQP</t>
  </si>
  <si>
    <t>Alambre THHN # 8 (tierra)</t>
  </si>
  <si>
    <t>Adaptador Macho de 1-1/2" PVC</t>
  </si>
  <si>
    <t xml:space="preserve">Tuercas Bushing de  1-1/2" </t>
  </si>
  <si>
    <t>Materiales menores</t>
  </si>
  <si>
    <t>VALOR POR PL</t>
  </si>
  <si>
    <t>Alambre THHN # 2 (pot.)</t>
  </si>
  <si>
    <t>Tuberia 4 '' SDR-41</t>
  </si>
  <si>
    <t>Tuberia 6 '' SDR-41</t>
  </si>
  <si>
    <t>Llave de paso  3" 1er. nivel</t>
  </si>
  <si>
    <t>esquinero</t>
  </si>
  <si>
    <t>cubrefalta de pvc</t>
  </si>
  <si>
    <t>Fregadero de acero inoxidable de una cámaras y escurridor incl. Mezcladora</t>
  </si>
  <si>
    <t>Puertas Everdoor (0.9 x 2.10) m</t>
  </si>
  <si>
    <t>Fascias sheetrock</t>
  </si>
  <si>
    <t>Llave de paso  1/2" 1er. nivel</t>
  </si>
  <si>
    <t xml:space="preserve">instalación llave de paso de 1/2" </t>
  </si>
  <si>
    <t>Rejilla para desague pluvial en parqueos</t>
  </si>
  <si>
    <t>Vidrio  Fijo y marco de aluminio blanco Perfil P92 Gris, Vidrios Blue-Green.</t>
  </si>
  <si>
    <t>llave de paso  de 1/2" ppr</t>
  </si>
  <si>
    <t>Llave de paso  ppr  1/2" 1er. nivel</t>
  </si>
  <si>
    <t>Llave de paso  3"  ppr 1er. nivel</t>
  </si>
  <si>
    <t xml:space="preserve">instalación llave de paso de 3" </t>
  </si>
  <si>
    <t>llave de paso  de 3" ppr</t>
  </si>
  <si>
    <t>Ventanas correderas de cristal aluminio blanco Perfil P92 Gris, Vidrios Blue-Green.</t>
  </si>
  <si>
    <t>Ventana Proyectada de Cristal aluminio blanco Perfil P92 Gris, Vidrios Blue-Green.</t>
  </si>
  <si>
    <t>Ventana Abatible de Cristal aluminio blanco Perfil P92 Gris, Vidrios Blue-Green.</t>
  </si>
  <si>
    <t>Impermeabilizante de techo  de lona asfaltica  e=4mm</t>
  </si>
  <si>
    <t>Impermeabilizante de techo  de lona asfaltica  e=3mm</t>
  </si>
  <si>
    <t>Ducha con regadera Cuarto de servicios</t>
  </si>
  <si>
    <t>llave de empotrar ½" (AMERICANA) para ducha</t>
  </si>
  <si>
    <t>Cortinas de Banos en cristal (1.92 x 2.00)</t>
  </si>
  <si>
    <t>Tuberia 3 '' SDR-41</t>
  </si>
  <si>
    <t>Llave de paso  3/4"  ppr 1er. nivel</t>
  </si>
  <si>
    <t>llave de paso ppr de 3/4" europea</t>
  </si>
  <si>
    <t>llave de paso pprde 1" europea</t>
  </si>
  <si>
    <t>llave de paso de bola de 11/2" europea</t>
  </si>
  <si>
    <t>Llave de paso  11/2" 1er. nivel</t>
  </si>
  <si>
    <t>Llave de paso  ppr  1" 1er. nivel</t>
  </si>
  <si>
    <t>Tuberia 1  1/2''   polipropileno</t>
  </si>
  <si>
    <t xml:space="preserve">Columna de agua potable pvc 1 1/2" </t>
  </si>
  <si>
    <t>Tuberia Polipropileno 1 1/2'' AF y AC (4m)</t>
  </si>
  <si>
    <t>Tuberia 3''  polipropileno</t>
  </si>
  <si>
    <t>Puertas  corredizas de madera a todo costo</t>
  </si>
  <si>
    <t>Puertas correderas de Aluminio Blanco y Vidrio claro Perfil P92 Gris, Vidrios Blue-Green.</t>
  </si>
  <si>
    <t>Baños portatiles</t>
  </si>
  <si>
    <t xml:space="preserve">Lavamano sadosa Standard </t>
  </si>
  <si>
    <t xml:space="preserve">Fregadero doble Inoxidable  </t>
  </si>
  <si>
    <t xml:space="preserve">fregadero </t>
  </si>
  <si>
    <t>Tuberia 2 '' SDR-41</t>
  </si>
  <si>
    <t>Calentador de agua de gas 30 glones</t>
  </si>
  <si>
    <t>Verja de entrada en hierro</t>
  </si>
  <si>
    <t>Ventana en Lobby de aluminio y vidrio</t>
  </si>
  <si>
    <t>Puerta doble de cristal con bandas de vinilo (2.00 x 2.17) mts</t>
  </si>
  <si>
    <t>Puerta cristal translucido y  acero inoxidable (0.90 x 2.17) mts</t>
  </si>
  <si>
    <t>Ventanas de aluminio y vidrio abatible de una o dos hojas fijas</t>
  </si>
  <si>
    <t>Forro de madera de Cedro  en Walking Closet</t>
  </si>
  <si>
    <t>Bañera</t>
  </si>
  <si>
    <t>Rejilla de ventilación en cuarto de planta</t>
  </si>
  <si>
    <t>Ventana de aluminio y vidrio oscilo batiente</t>
  </si>
  <si>
    <t>TASA</t>
  </si>
  <si>
    <t>Aislante termico poliestireno tipo Danopreno 40</t>
  </si>
  <si>
    <t>Puerta chapa (1.00 x 2.10) mts</t>
  </si>
  <si>
    <t>Puerta chapa con rejilla en patinillo</t>
  </si>
  <si>
    <t>Baranda para balcones en aluminio y vidrio de acero inoxidable</t>
  </si>
  <si>
    <t xml:space="preserve">Masilla elastometrica </t>
  </si>
  <si>
    <t>Ventilación 0 2" (3.00 mts.) 1er. nivel</t>
  </si>
  <si>
    <t>instalación Ventilación de 2"</t>
  </si>
  <si>
    <t>Llave de paso  2" ppr 1er. nivel</t>
  </si>
  <si>
    <t>Vidrio fijo natural templado</t>
  </si>
  <si>
    <t>Puerta de acero perforado</t>
  </si>
  <si>
    <t xml:space="preserve">Tuberia Polipropileno 3'' AF </t>
  </si>
  <si>
    <t>Tuberia Polipropileno 3''  (4m) 90mm</t>
  </si>
  <si>
    <t>Tuberia Polipropileno 2'' AF PN16 (4m) 63 mm</t>
  </si>
  <si>
    <t>Tuberia 8 '' SDR-41</t>
  </si>
  <si>
    <t>Piso de goma en gimnasio</t>
  </si>
  <si>
    <t>Cerradura de seguridad baldwin</t>
  </si>
  <si>
    <t>Puertas en Closet y Despensa abatibles</t>
  </si>
  <si>
    <t>Puertas en Closet y Despensa correderas</t>
  </si>
  <si>
    <t>mezcladora para Banera monomando</t>
  </si>
  <si>
    <t>Tuberia Polipropileno 1'' AF PN16 (4m) 32 mm</t>
  </si>
  <si>
    <t>Tuberia 1  ''   polipropileno AF</t>
  </si>
  <si>
    <t>Tuberia Polipropileno 3/4'' AF PN16 (4m) 25 mm</t>
  </si>
  <si>
    <t>Tuberia 3/4''  prolipoleno AF</t>
  </si>
  <si>
    <t>Tuberia 1/2''   prolipoleno AF</t>
  </si>
  <si>
    <t>Tuberia Polipropileno 1/2'' AF PN16 (4m) 20 mm</t>
  </si>
  <si>
    <t>Tuberia 3/4''  prolipoleno AC</t>
  </si>
  <si>
    <t>Tuberia Polipropileno 3/4''  AC (4m) PN20 (4m) 25 mm</t>
  </si>
  <si>
    <t>Tuberia 1/2''   prolipoleno AC</t>
  </si>
  <si>
    <t>Tuberia Polipropileno 1/2'' AC PN20 (4m) 20 mm</t>
  </si>
  <si>
    <t>Tuberia 1  ''   polipropileno AC</t>
  </si>
  <si>
    <t>Tuberia Polipropileno 1'' AC PN20 (4m) 32 mm</t>
  </si>
  <si>
    <t>Topes de baños en marmol</t>
  </si>
  <si>
    <t>Puerta  de aluminio en  zonas de AC</t>
  </si>
  <si>
    <t>Aislante termico PRODEX</t>
  </si>
  <si>
    <t xml:space="preserve">Tuberia Polipropileno 2'' AF </t>
  </si>
  <si>
    <t>Piezas menores</t>
  </si>
  <si>
    <t>Colector principal soterrado</t>
  </si>
  <si>
    <t>Colector principal nivel 1</t>
  </si>
  <si>
    <t>Rociador de respuesta estándar, "Upright", 1/2", latón, 57 °C, K=5.6. Incluye piezas necesarias para conexión. VIKING, TYCO o similar.</t>
  </si>
  <si>
    <t>Rociador de respuesta estándar, "Upright", 1/2", cromado, 57 °C, K=5.6. Incluye piezas necesarias para conexión. VIKING, TYCO o similar.</t>
  </si>
  <si>
    <t>Piezas menores para conexión y montaje (Nipple, Codo, etc.)</t>
  </si>
  <si>
    <t>Mano de obra colocación</t>
  </si>
  <si>
    <t>Extintor</t>
  </si>
  <si>
    <t>Tuberia 12 '' SDR-41</t>
  </si>
  <si>
    <t>tubo 12" PVC SDR-41</t>
  </si>
  <si>
    <t>mes/ud</t>
  </si>
  <si>
    <t>Mezcladora</t>
  </si>
  <si>
    <t>Organizadores de closet closemaid</t>
  </si>
  <si>
    <t>Tubo de Silicon industrial trasnp. 10.3</t>
  </si>
  <si>
    <t>Teflon 3/4''</t>
  </si>
  <si>
    <t>Mampara en vidrio templado</t>
  </si>
  <si>
    <t>Fregadero de esquina de  acero inoxidable de dos cámaras incl. Mezcladora</t>
  </si>
  <si>
    <t>Mueble de lavado en material hidrofugo,lavadero en fibra plastica de una boca y 5" de espesor</t>
  </si>
  <si>
    <t>Ventanas  de doble vidrio sin camara de aire, con marco interior , escurridor de agua y perfileria P92</t>
  </si>
  <si>
    <t>Llave de chorro</t>
  </si>
  <si>
    <t>Mueble de madera color negro 60x46 cms con lavamano de porcelana y espejo con madera</t>
  </si>
  <si>
    <t>Mueble de madera color negro 50x25 cms con lavamano de porcelana y espejo con madera</t>
  </si>
  <si>
    <t>Inodoro de una pieza Vissani con tapa caida lenta</t>
  </si>
  <si>
    <t>Lavamano de porcelana linea Vissani 42x40x26 cms</t>
  </si>
  <si>
    <t>Lavamano de porcelana linea Vissani 42x42 cms</t>
  </si>
  <si>
    <t>Lavamano de porcelana  40x25x14 cms</t>
  </si>
  <si>
    <t xml:space="preserve">Mezcladora para Lavamano de la linea Vissani </t>
  </si>
  <si>
    <t xml:space="preserve">Mezcladora para Lavamano de la linea Water Ware </t>
  </si>
  <si>
    <t xml:space="preserve">Mezcladora de ducha, con ducha de mano, holder y manguera de la linea Vissani </t>
  </si>
  <si>
    <t xml:space="preserve">Mezcladora de ducha, con ducha de mano, holder y manguera de la linea Water Ware </t>
  </si>
  <si>
    <t>Inodoro Sadosa Taino</t>
  </si>
  <si>
    <t>Lavamano Sadosa Taino</t>
  </si>
  <si>
    <t>Fascias en  sheetrock de 10 cms. De profundidad</t>
  </si>
  <si>
    <t>Fascias en  sheetrock de 20 cms. De profundidad</t>
  </si>
  <si>
    <t>Fascias en  sheetrock de 40 cms. De profundidad</t>
  </si>
  <si>
    <t>Sheet rock a dos caras</t>
  </si>
  <si>
    <t>Estuco Plastico valenciano a todo costo</t>
  </si>
  <si>
    <t>llave de paso  de 2" ppr (union 63)</t>
  </si>
  <si>
    <t>Tuberia Polipropileno 4'' AC PN20 (4m) 110</t>
  </si>
  <si>
    <t>Tuberia Polipropileno 4'' Af PN16 (4m) 110</t>
  </si>
  <si>
    <t>Tuberia 4''   polipropileno AC</t>
  </si>
  <si>
    <t>Tuberia 4''   polipropileno AF</t>
  </si>
  <si>
    <t>Puerta metalica</t>
  </si>
  <si>
    <t>Escalera metalica posterior a todo costo</t>
  </si>
  <si>
    <t xml:space="preserve">Zocalos de madera, suministro, instalacion, a todo costo </t>
  </si>
  <si>
    <t xml:space="preserve"> Mezcladora  de ducha marca visani para banos principales</t>
  </si>
  <si>
    <t>Inodoro Marca Water Wave con tapa de caida lenta y doble descarga  en servicios</t>
  </si>
  <si>
    <t xml:space="preserve">mezcladora </t>
  </si>
  <si>
    <t>Fregadero de esquina de  acero inoxidable de dos cámaras</t>
  </si>
  <si>
    <t>mezcladora   para fregadero marca water ware</t>
  </si>
  <si>
    <t>mezcladora   para fregadero</t>
  </si>
  <si>
    <t>Juegos de accesorios  3 piezas marca visani</t>
  </si>
  <si>
    <t>Puertas en Closet de riel no plegadizas</t>
  </si>
  <si>
    <t>Llave de paso    1 1/2"  ppr 1er. nivel</t>
  </si>
  <si>
    <t xml:space="preserve">instalación llave de paso de 11/2" </t>
  </si>
  <si>
    <t>llave de paso pprde 11/2" europea</t>
  </si>
  <si>
    <t>Fregadero de acero inoxidable de una cámara y escurridor incl. Mezcladora</t>
  </si>
  <si>
    <t>Jacuzzi</t>
  </si>
  <si>
    <t>Materiales electricos y sanitarios</t>
  </si>
  <si>
    <t>Jacuzzi incluyendo filtros bomas</t>
  </si>
  <si>
    <t>montura</t>
  </si>
  <si>
    <t xml:space="preserve">Colocacion y  aplicacion Estampado al hormigon </t>
  </si>
  <si>
    <t>Gabinete contra incendios</t>
  </si>
  <si>
    <t>Tuberia de 4'' HN</t>
  </si>
  <si>
    <t xml:space="preserve">Panel de distribucion similar a G.E. 32-16C </t>
  </si>
  <si>
    <t>TLM 3220 CCU N-1, 1F</t>
  </si>
  <si>
    <t>Breaker G.E  30/2 THQL</t>
  </si>
  <si>
    <t>Breaker G.E  40/2 THQL</t>
  </si>
  <si>
    <t>Breaker G.E  60/2 THQL</t>
  </si>
  <si>
    <t xml:space="preserve">PANEL DE DISTRIBUCION TIPO  (PA-14), (PD-14), (PB-15)  </t>
  </si>
  <si>
    <t xml:space="preserve">PANEL DE DISTRIBUCION TIPO  (PB-14), (PC-14), (PC-15)  </t>
  </si>
  <si>
    <t xml:space="preserve">PANEL DE DISTRIBUCION TIPO  (PA-16),  (PD-16) </t>
  </si>
  <si>
    <t xml:space="preserve">PANEL DE DISTRIBUCION TIPO  (P-AZOTEA) </t>
  </si>
  <si>
    <t>TL 3220 C N-1, 3F</t>
  </si>
  <si>
    <t xml:space="preserve">PANEL DE DISTRIBUCION TIPO  (PP) </t>
  </si>
  <si>
    <t xml:space="preserve">Panel de distribucion similar a G.E. 42C </t>
  </si>
  <si>
    <t>TL 42422 C N-1, 3F</t>
  </si>
  <si>
    <t>Breaker G.E  30/1 THQL</t>
  </si>
  <si>
    <t>Breaker G.E  40/1 THQL</t>
  </si>
  <si>
    <t xml:space="preserve">PANEL DE DISTRIBUCION TIPO  (PLP) </t>
  </si>
  <si>
    <t xml:space="preserve">Panel de distribucion similar a G.E. 24C </t>
  </si>
  <si>
    <t>TLM 2412 CCU N-1, 1F</t>
  </si>
  <si>
    <t>ALIMENTADOR A PANEL TIPO (PA-2) DESDE  MODULO DE CONTADORES EN 2 THHN #2 (P) Y 1 THHN #6  (N) Y 1 THHN #8 (T),1 TUBO EMT 1-1/2".</t>
  </si>
  <si>
    <t>Curvas de 1-1/2" EMT</t>
  </si>
  <si>
    <t>Tuberia EMT de 1-1/2"</t>
  </si>
  <si>
    <t>Conector  EMT de 1-1/2"</t>
  </si>
  <si>
    <t>Riel Unistrut grueso</t>
  </si>
  <si>
    <t>Abrazadera Unistrut de 1-1/2"</t>
  </si>
  <si>
    <t>Alambre THHN # 6 (neutro)</t>
  </si>
  <si>
    <t>GUIA DE ANALISIS DE COSTOS PARA COLEGIADOS, R.D.</t>
  </si>
  <si>
    <t>ANALISIS ELECTRICOS</t>
  </si>
  <si>
    <t>ANALISIS PRECIOS UNITARIOS SANITARIOS</t>
  </si>
  <si>
    <t>NO</t>
  </si>
  <si>
    <t>COSTO UNIT. RD$</t>
  </si>
  <si>
    <t>LABORES VARIAS</t>
  </si>
  <si>
    <t>LISTADO DE INSUMOS SANITARIOS</t>
  </si>
  <si>
    <t>TUBOS PVC</t>
  </si>
  <si>
    <t>PIEZAS PVC</t>
  </si>
  <si>
    <t>LLAVES DE PASO</t>
  </si>
  <si>
    <t>APARATOS, GRIFERIA Y ACCESORIOS SANITARIOS</t>
  </si>
  <si>
    <t>yee PVC drenaje 4 "  x  2"</t>
  </si>
  <si>
    <t xml:space="preserve">Registro prefabricado   0.40 x0.40 </t>
  </si>
  <si>
    <t xml:space="preserve"> Tapa hidraulica antiolor  50 cms x 50 cms PARA  Trampa de grasa </t>
  </si>
  <si>
    <t xml:space="preserve"> Tapa de hidraulica D-16 de 50 cms x 50 cms  PARA Registro de inspeccion </t>
  </si>
  <si>
    <t>Tapa articulada antiolor de diametro 0.60 m  PARA  Registro de inspeccion</t>
  </si>
  <si>
    <t>TUBOS POLIPROPILENO</t>
  </si>
  <si>
    <t>TUBOS  HG Y HN</t>
  </si>
  <si>
    <t>MANO DE OBRA  SANITARIA</t>
  </si>
  <si>
    <t xml:space="preserve"> Salida de agua fría a inodoro </t>
  </si>
  <si>
    <t xml:space="preserve"> Salida de agua fría a orinal</t>
  </si>
  <si>
    <t>Instalacion de llave de paso de ø 11/2" en tuberia de cobre</t>
  </si>
  <si>
    <t>Instalacion de llave de paso de ø 1" en tuberia de cobre</t>
  </si>
  <si>
    <t>Instalacion de llave de paso de ø 3/4" en tuberia de cobre</t>
  </si>
  <si>
    <t>Instalacion de llave de paso de ø 1/2" en tuberia de cobre</t>
  </si>
  <si>
    <t>Conexión a trampa de grasa sencilla</t>
  </si>
  <si>
    <t>Conexión a septico y filtrante de 4"</t>
  </si>
  <si>
    <t>Conexión a septico y filtrante de 6"</t>
  </si>
  <si>
    <t>Conexión a septico y filtrante de 8"</t>
  </si>
  <si>
    <t>Instalación tapón de registro 2"</t>
  </si>
  <si>
    <t>De 3”</t>
  </si>
  <si>
    <t>De 4”</t>
  </si>
  <si>
    <t>De 6”</t>
  </si>
  <si>
    <t>De 8”</t>
  </si>
  <si>
    <t>De 10”</t>
  </si>
  <si>
    <t>De 12”</t>
  </si>
  <si>
    <t xml:space="preserve">Inst. desague 3"  para piso </t>
  </si>
  <si>
    <t>Inodoros especiales de un cuerpo o pieza</t>
  </si>
  <si>
    <t>Llaves empotradas para ducha</t>
  </si>
  <si>
    <t>Monturas de mezcladoras de baños</t>
  </si>
  <si>
    <t>Lavadoras automáticas domésticas</t>
  </si>
  <si>
    <t xml:space="preserve">Orinales de media falda </t>
  </si>
  <si>
    <t>Desagüe de inodoros de pared</t>
  </si>
  <si>
    <t>Instalación de cámara y registro de limpieza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</si>
  <si>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</si>
  <si>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</si>
  <si>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</si>
  <si>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</si>
  <si>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ARRASTRE DOMICILIARIO, PAGO POR MLA PARTIR DEL CUARTO DE BAÑO</t>
  </si>
  <si>
    <t>Tuberías de 2”</t>
  </si>
  <si>
    <t>Tuberías de 4”</t>
  </si>
  <si>
    <t>Tuberías de 5”</t>
  </si>
  <si>
    <t>Tuberías de 6”</t>
  </si>
  <si>
    <t>Salida de agua fría</t>
  </si>
  <si>
    <t xml:space="preserve">Salida de agua caliente </t>
  </si>
  <si>
    <t>Salida de agua fría a baño de ducha</t>
  </si>
  <si>
    <t>Instalación de filtros de agua domiciliarias</t>
  </si>
  <si>
    <t>Instalación de cisternas, montura de bombas de agua en cisternas con diámetro de ¾” a 1”</t>
  </si>
  <si>
    <t>Tubería galvanizada de1”</t>
  </si>
  <si>
    <t>En tuberías de ½” ó ¾”</t>
  </si>
  <si>
    <t>En tuberías de 1”</t>
  </si>
  <si>
    <t>En tuberías de 1” a 1 ½”</t>
  </si>
  <si>
    <t>En tuberías de 1½” a 2”</t>
  </si>
  <si>
    <t>En tubería de 2”</t>
  </si>
  <si>
    <t>En tubería de 3”</t>
  </si>
  <si>
    <t>En tubería de 4”</t>
  </si>
  <si>
    <t>En tubería de 6”</t>
  </si>
  <si>
    <t>INSTALACIÓN DE LLAVES PASO DOMICILIARIAS</t>
  </si>
  <si>
    <t>INSTALACIONES DE TUBERÍAS (PVC)</t>
  </si>
  <si>
    <t>INSTALACIONES DE TUBERÍAS DE HIERRO FUNDIDO O DE ACERO</t>
  </si>
  <si>
    <t xml:space="preserve">Inst. desague 4"  para piso </t>
  </si>
  <si>
    <t>Conexión a trampa de grasa doble</t>
  </si>
  <si>
    <t>Colocacion tuberias de 2" PVC</t>
  </si>
  <si>
    <t>Colocacion tuberias de 1" PVC</t>
  </si>
  <si>
    <t>Colocacion tuberias de 3/4" PVC</t>
  </si>
  <si>
    <t>Colocacion tuberias de 1/2" PVC</t>
  </si>
  <si>
    <t>Colocacion tuberias de 4"  PVC</t>
  </si>
  <si>
    <t>Colocacion tuberias de  3" PVC</t>
  </si>
  <si>
    <t>Colocacion tuberias de 8" PVC</t>
  </si>
  <si>
    <t>Colocacion tuberias de 6" PVC</t>
  </si>
  <si>
    <t>Colocacion tuberias de 12" PVC</t>
  </si>
  <si>
    <t>Colocacion tuberias de 10" PVC</t>
  </si>
  <si>
    <t>Colocacion Yee reducida 8" @ 6"</t>
  </si>
  <si>
    <t>MONTURA DE APARATOS (EXCLUSIVAMENTE)</t>
  </si>
  <si>
    <t>DESAGUE DE APARATOS SANITARIOS  Y DE PISOS</t>
  </si>
  <si>
    <t>DESAGUE DE APARATOS SANITARIOS Y DE PISO</t>
  </si>
  <si>
    <t>SALIDAS DE AGUA POTABLE INST. Y PAGO  SALIDAS DE AGUA EN A. SANIT.</t>
  </si>
  <si>
    <t>COLUMNAS DE AGUA POTABLE</t>
  </si>
  <si>
    <t>VENTILACION</t>
  </si>
  <si>
    <t>BAJANTES DE DESCARGA Y BAJANTES PLUVIALES</t>
  </si>
  <si>
    <t>MANO DE OBRA COLOCACION PIEZAS PVC</t>
  </si>
  <si>
    <t>Salida de agua fría a inodoro fluxómetro</t>
  </si>
  <si>
    <t>TUBERIA Y PIEZAS HIERRO GALVANIZADO</t>
  </si>
  <si>
    <t>Colocacion tuberias de De 4” galvanizada</t>
  </si>
  <si>
    <t>Colocacion tuberias de De 6”galvanizada</t>
  </si>
  <si>
    <t>Colocacion tuberias de De 8” galvanizada</t>
  </si>
  <si>
    <t xml:space="preserve"> Cajas de ValvulasTelescópicas </t>
  </si>
  <si>
    <t>Cajas de Valvulas Sencillas</t>
  </si>
  <si>
    <t>Instalacion de Hidrantes</t>
  </si>
  <si>
    <t>CONEXION O EMPALME A TUBERIA EXISTENTE DE AGUA POTABLE</t>
  </si>
  <si>
    <t>CONEXION O EMPALME A TUBERIA EXISTENTE DE ARRASTRE</t>
  </si>
  <si>
    <t>Inodoros  de pared</t>
  </si>
  <si>
    <t>Inodoro  corriente de una pieza</t>
  </si>
  <si>
    <t>Inodoro corriente  de dos piezas</t>
  </si>
  <si>
    <t xml:space="preserve">Orinales de falda </t>
  </si>
  <si>
    <t>Inst. desague  aparatos 4"</t>
  </si>
  <si>
    <t>Inst. Desague aparatos  2"</t>
  </si>
  <si>
    <t>Instalacion trampa de grasa sencilla</t>
  </si>
  <si>
    <t>Instalacion trampa de grasa doble camara</t>
  </si>
  <si>
    <t xml:space="preserve">Instalación de bajante 1 ½” </t>
  </si>
  <si>
    <t xml:space="preserve">Instalación de bajante 2" </t>
  </si>
  <si>
    <t xml:space="preserve">Instalación piezas pvc 1/2" </t>
  </si>
  <si>
    <t>APARATOS SANITARIOS</t>
  </si>
  <si>
    <t>APA-1</t>
  </si>
  <si>
    <t>APA-2</t>
  </si>
  <si>
    <t>APA-3</t>
  </si>
  <si>
    <t>APA-4</t>
  </si>
  <si>
    <t>APA-5</t>
  </si>
  <si>
    <t>APA-6</t>
  </si>
  <si>
    <t>APA-7</t>
  </si>
  <si>
    <t>APA-8</t>
  </si>
  <si>
    <t>APA-9</t>
  </si>
  <si>
    <t>APA-10</t>
  </si>
  <si>
    <t>APA-11</t>
  </si>
  <si>
    <t>APA-12</t>
  </si>
  <si>
    <t>APA-13</t>
  </si>
  <si>
    <t>APA-14</t>
  </si>
  <si>
    <t>APA-15</t>
  </si>
  <si>
    <t>APA-16</t>
  </si>
  <si>
    <t>APA-17</t>
  </si>
  <si>
    <t>APA-18</t>
  </si>
  <si>
    <t>VAR-1</t>
  </si>
  <si>
    <t>Inodoro Simplex</t>
  </si>
  <si>
    <t>Lavamanos Blanco para empotrar incluye mezcladora monomando</t>
  </si>
  <si>
    <t xml:space="preserve">montura de lavamanos especiales </t>
  </si>
  <si>
    <t xml:space="preserve"> Mueble Lavadero </t>
  </si>
  <si>
    <t xml:space="preserve">llave de chorro de ½" </t>
  </si>
  <si>
    <t xml:space="preserve">Accesorios  en Baños principales </t>
  </si>
  <si>
    <t>montura de fregadero de acero inoxidable</t>
  </si>
  <si>
    <t xml:space="preserve">montura de fregadero de acero inoxidable </t>
  </si>
  <si>
    <t>Confeccion  registro de inspeccion</t>
  </si>
  <si>
    <t xml:space="preserve">Registro de inspeccion  (0.60 x 0.60 x 0.75 mts) </t>
  </si>
  <si>
    <t>Trampa de GRASA (0.80 x 0.80 x 0.75 mts) C/tee 0 3"</t>
  </si>
  <si>
    <t xml:space="preserve">bloques de 0.10 mts (4") </t>
  </si>
  <si>
    <t>instalación trampa de grasa</t>
  </si>
  <si>
    <t>confección  trampa grasa</t>
  </si>
  <si>
    <t>Desague de 2"</t>
  </si>
  <si>
    <t>Piletas de Baños servicios (0.60 x 1.20) mts (no incluye llave)</t>
  </si>
  <si>
    <t>Vertedero p/Baños (0.60 x 1.20)</t>
  </si>
  <si>
    <t>Tuberia 2''   polipropileno AF</t>
  </si>
  <si>
    <t xml:space="preserve">codo PVC </t>
  </si>
  <si>
    <t xml:space="preserve">Tuberia Polipropileno 1'' AF </t>
  </si>
  <si>
    <t xml:space="preserve">Tuberia Polipropileno 3/4'' AF </t>
  </si>
  <si>
    <t>VAR-2</t>
  </si>
  <si>
    <t>VAR-3</t>
  </si>
  <si>
    <t>VAR-4</t>
  </si>
  <si>
    <t>VAR-5</t>
  </si>
  <si>
    <t>VAR-6</t>
  </si>
  <si>
    <t>VAR-7</t>
  </si>
  <si>
    <t>VAR-8</t>
  </si>
  <si>
    <t>VAR-9</t>
  </si>
  <si>
    <t>VAR-10</t>
  </si>
  <si>
    <t>VAR-11</t>
  </si>
  <si>
    <t>VAR-12</t>
  </si>
  <si>
    <t>VAR-13</t>
  </si>
  <si>
    <t>VAR-14</t>
  </si>
  <si>
    <t>VAR-15</t>
  </si>
  <si>
    <t>VAR-16</t>
  </si>
  <si>
    <t>VAR-17</t>
  </si>
  <si>
    <t>VAR-18</t>
  </si>
  <si>
    <t>VAR-19</t>
  </si>
  <si>
    <t>VAR-20</t>
  </si>
  <si>
    <t>VAR-21</t>
  </si>
  <si>
    <t>VAR-22</t>
  </si>
  <si>
    <t>VAR-23</t>
  </si>
  <si>
    <t>VAR-24</t>
  </si>
  <si>
    <t>VAR-25</t>
  </si>
  <si>
    <t>VAR-26</t>
  </si>
  <si>
    <t>VAR-27</t>
  </si>
  <si>
    <t>VAR-28</t>
  </si>
  <si>
    <t>VAR-29</t>
  </si>
  <si>
    <t>VAR-30</t>
  </si>
  <si>
    <t>VAR-31</t>
  </si>
  <si>
    <t>VAR-32</t>
  </si>
  <si>
    <t>VAR-33</t>
  </si>
  <si>
    <t>VAR-34</t>
  </si>
  <si>
    <t>VAR-35</t>
  </si>
  <si>
    <t>VAR-36</t>
  </si>
  <si>
    <t>VAR-37</t>
  </si>
  <si>
    <t>VAR-38</t>
  </si>
  <si>
    <t>VAR-39</t>
  </si>
  <si>
    <t>VAR-40</t>
  </si>
  <si>
    <t>VAR-41</t>
  </si>
  <si>
    <t>VAR-42</t>
  </si>
  <si>
    <t>VAR-43</t>
  </si>
  <si>
    <t>VAR-44</t>
  </si>
  <si>
    <t>VAR-45</t>
  </si>
  <si>
    <t>VAR-46</t>
  </si>
  <si>
    <t>VAR-47</t>
  </si>
  <si>
    <t>VAR-48</t>
  </si>
  <si>
    <t>VAR-49</t>
  </si>
  <si>
    <t>VAR-50</t>
  </si>
  <si>
    <t>VAR-51</t>
  </si>
  <si>
    <t>VAR-52</t>
  </si>
  <si>
    <t>VAR-53</t>
  </si>
  <si>
    <t>VAR-54</t>
  </si>
  <si>
    <t>VAR-55</t>
  </si>
  <si>
    <t>VAR-56</t>
  </si>
  <si>
    <t>VAR-57</t>
  </si>
  <si>
    <t>LISTADO DE INSUMOS ELECTRICOS</t>
  </si>
  <si>
    <t>PU CON ITBIS INCLUIDO</t>
  </si>
  <si>
    <t>UD.</t>
  </si>
  <si>
    <t>CAJA RECTANGULAR DE 1/2"</t>
  </si>
  <si>
    <t>COUPLING EMT DE 1/2"</t>
  </si>
  <si>
    <t>NO.</t>
  </si>
  <si>
    <t>TOTAL ======&gt; RD$</t>
  </si>
  <si>
    <t>*</t>
  </si>
  <si>
    <t>REG. 4" X 4" X 2" AME.</t>
  </si>
  <si>
    <t>UND.</t>
  </si>
  <si>
    <t>DESCRIPCION</t>
  </si>
  <si>
    <t>REGISTRO 4" X 4" AMERICANO</t>
  </si>
  <si>
    <t xml:space="preserve">TAPA PLASTICA 2 X 4 </t>
  </si>
  <si>
    <t>ALAMBRE DULCE</t>
  </si>
  <si>
    <t>TARUGO AZUL C/TORNILLO</t>
  </si>
  <si>
    <t>ABRAZADERA DE 3/4"</t>
  </si>
  <si>
    <t xml:space="preserve">CONECTOR RECTO EMT DE 3/4" </t>
  </si>
  <si>
    <t>COUPLING EMT DE 3/4"</t>
  </si>
  <si>
    <t xml:space="preserve">CURVA EMT DE 3/4" </t>
  </si>
  <si>
    <t>EMT DE 3/4" X 10'</t>
  </si>
  <si>
    <t>CAJA RECTANGULAR DE 3/4"</t>
  </si>
  <si>
    <t>SALIDAS PARA ANTENA</t>
  </si>
  <si>
    <t>SALIDAS PARA TELEFONO</t>
  </si>
  <si>
    <t>SALIDAS PARA DATAS</t>
  </si>
  <si>
    <t>TOMACORRIENTE 220Vac. BTICINO</t>
  </si>
  <si>
    <t>ROLL</t>
  </si>
  <si>
    <t>TAPE 3M SCOTT +33</t>
  </si>
  <si>
    <t>ALAMBRE THW #14</t>
  </si>
  <si>
    <t>ALAMBRE THW #10</t>
  </si>
  <si>
    <t>SALIDA DE TOMACORRIENTE 220V POLARIZADO</t>
  </si>
  <si>
    <t>TOMACORRIENTE 110Vac BTICINO</t>
  </si>
  <si>
    <t>TAPA 2 X 4 MAMEY</t>
  </si>
  <si>
    <t>ABRAZADERA DE 1/2"</t>
  </si>
  <si>
    <t>ALAMBRE THW #12</t>
  </si>
  <si>
    <t xml:space="preserve">CONECTOR RECTO EMT DE 1/2" </t>
  </si>
  <si>
    <t xml:space="preserve">CURVA EMT DE 1/2" </t>
  </si>
  <si>
    <t>EMT DE 1/2" X 10'</t>
  </si>
  <si>
    <t>SALIDA DE TOMACORRIENTE DOBLE 120V POLARIZADO PARA UPS</t>
  </si>
  <si>
    <t>TAPA TOMACORRIENTE 110Vac METAL</t>
  </si>
  <si>
    <t>TOMACORRIENTE 110Vac LEVINTON</t>
  </si>
  <si>
    <t>SALIDA DE TOMACORRIENTE DOBLE 120V POLARIZADO CON TAPA DE METAL</t>
  </si>
  <si>
    <t>SALIDA DE TOMACORRIENTE DOBLE 120V POLARIZADO</t>
  </si>
  <si>
    <t>INT. 3W BTICINO</t>
  </si>
  <si>
    <t>SALIDA DE INTERRUPTOR THREE WAY</t>
  </si>
  <si>
    <t>INT TRIPLE  BTICINO</t>
  </si>
  <si>
    <t>SALIDA DE INTERRUPTOR TRIPLE</t>
  </si>
  <si>
    <t>INT DOBLE  BTICINO</t>
  </si>
  <si>
    <t>SALIDA DE INTERRUPTOR DOBLE</t>
  </si>
  <si>
    <t>TOTAL =====&gt; RD$</t>
  </si>
  <si>
    <t>TIMBRE COMPANA DE 10"</t>
  </si>
  <si>
    <t xml:space="preserve">SALIDA DE Timbre T/CAMPANA DE 10"  </t>
  </si>
  <si>
    <t>TIMBRE ZUMBADOR TICINO</t>
  </si>
  <si>
    <t xml:space="preserve">SALIDA DE Timbre  </t>
  </si>
  <si>
    <t>PULSADOR TIMBRE BTICINO</t>
  </si>
  <si>
    <t xml:space="preserve">SALIDA PARA PULSADOR DE Timbre  </t>
  </si>
  <si>
    <t>INT SEN. BTICINO</t>
  </si>
  <si>
    <t xml:space="preserve">SALIDA DE INTERRUPTOR SENCILLO </t>
  </si>
  <si>
    <t>ABANICO KDK DE PARED M40C</t>
  </si>
  <si>
    <t>CAJA OCTAGONAL DE 1/2"</t>
  </si>
  <si>
    <t xml:space="preserve">SALIDA ABANICO DE PARED KDK M40C </t>
  </si>
  <si>
    <t>ABANICO KDK ORBITAL M40R DE 16"</t>
  </si>
  <si>
    <t>EXPANSION DE 1/4 X 1-1/2"</t>
  </si>
  <si>
    <t>TORNILLO HEXAGONAL DE 1/4 X 1-1/2"</t>
  </si>
  <si>
    <t>SALIDA ABANICO DE TECHO CON ABANICO KDK M40R ORBITAL DE 16"</t>
  </si>
  <si>
    <t>ABANICO KDK DE TECHO B56 DE 56"</t>
  </si>
  <si>
    <t>GANCHO DE 3/8"</t>
  </si>
  <si>
    <t>EXPANSION DE 3/8" X 1-1/2"</t>
  </si>
  <si>
    <t>SALIDA ABANICO DE TECHO CON ABANICO KDK B56 DE 56"</t>
  </si>
  <si>
    <t>LAMPARA 1T-T8/32W LISA</t>
  </si>
  <si>
    <t>SALIDA CENITAL PARA LAMPARA (1T/.T8/32W) LISA</t>
  </si>
  <si>
    <t>LAMP. 2 X 4 3T-T8/32W PLAF. CON DIF.PARAB.</t>
  </si>
  <si>
    <t>ALAMBRE DE GOMA #14/3</t>
  </si>
  <si>
    <t>TUERCA UF DE 1/2</t>
  </si>
  <si>
    <t>TAPA OCTAGONAL 1/2</t>
  </si>
  <si>
    <t xml:space="preserve">SALIDA CENITAL P/LAMP. (3T/.T8/32W T/PLADF. PARABOLICA) </t>
  </si>
  <si>
    <t>LAMPARA 2T-T8/32W LISA</t>
  </si>
  <si>
    <t>SALIDA CENITAL PARA LAMPARA (2T/.T8/32W) LISA</t>
  </si>
  <si>
    <t>BOMBILLO BAJO CONSUMO 23W</t>
  </si>
  <si>
    <t>GLOBO DE 6" PLANO</t>
  </si>
  <si>
    <t>SALIDA CENITAL CON GLOBO DE 6"</t>
  </si>
  <si>
    <t>LAMPARA SECADOR DE BAJO CONSUMO</t>
  </si>
  <si>
    <t>SALIDA CENITAL CON LAMP T/SECADOR DE BAJO CONSUMO en pared</t>
  </si>
  <si>
    <t>ROSETA PORCELANA LEVINTON</t>
  </si>
  <si>
    <t>SALIDA CENITAL  EN EMT CON ROSETA</t>
  </si>
  <si>
    <t>SALIDA CENITAL  EN EMT DE PARED CON  ROSETA</t>
  </si>
  <si>
    <t>SALIDA CENITAL  EN EMT SIN ROSETA</t>
  </si>
  <si>
    <t>ABRAZADERA UNITRON DE 4"</t>
  </si>
  <si>
    <t>ABRAZADERA DE 4"</t>
  </si>
  <si>
    <t>CONECTOR CURVO LT DE 4"</t>
  </si>
  <si>
    <t>CONETOR RECTO LT DE 4"</t>
  </si>
  <si>
    <t>LT DE 4"</t>
  </si>
  <si>
    <t>CONECTOR CURVO BX DE 4"</t>
  </si>
  <si>
    <t>CONETOR RECTO BX  DE 4"</t>
  </si>
  <si>
    <t>BX DE 4"</t>
  </si>
  <si>
    <t>CONETOR HUB DE 4"</t>
  </si>
  <si>
    <t>CURVA IMC DE 4"</t>
  </si>
  <si>
    <t>IMC DE 4" X 19'</t>
  </si>
  <si>
    <t xml:space="preserve">CONECTOR RECTO EMT DE 4" </t>
  </si>
  <si>
    <t>COUPLING EMT DE 4"</t>
  </si>
  <si>
    <t xml:space="preserve">CURVA EMT DE 4" </t>
  </si>
  <si>
    <t>EMT DE 4" X 10'</t>
  </si>
  <si>
    <t>CONDULET DE 4"</t>
  </si>
  <si>
    <t>ABRAZADERA UNITRON DE 3"</t>
  </si>
  <si>
    <t>ABRAZADERA DE 3"</t>
  </si>
  <si>
    <t>CONDUFLEX DE 3"</t>
  </si>
  <si>
    <t>CONECTOR CURVO LT DE 3"</t>
  </si>
  <si>
    <t>CONETOR RECTO LT DE 3"</t>
  </si>
  <si>
    <t>LT DE 3"</t>
  </si>
  <si>
    <t>CONECTOR CURVO BX DE 3"</t>
  </si>
  <si>
    <t>CONETOR RECTO BX 3"</t>
  </si>
  <si>
    <t>BX DE 3"</t>
  </si>
  <si>
    <t>CONETOR HUB DE 3"</t>
  </si>
  <si>
    <t>CURVA IMC DE 3"</t>
  </si>
  <si>
    <t>IMC DE 3" X 19'</t>
  </si>
  <si>
    <t xml:space="preserve">CONECTOR RECTO EMT DE 3" </t>
  </si>
  <si>
    <t>COUPLING EMT DE 3"</t>
  </si>
  <si>
    <t xml:space="preserve">CURVA EMT DE 3" </t>
  </si>
  <si>
    <t>EMT DE 3" X 10'</t>
  </si>
  <si>
    <t>CONDULET DE 3"</t>
  </si>
  <si>
    <t>BARRA UNITRON DE 5/8" X 10'</t>
  </si>
  <si>
    <t>BARRA UNITRON DE 1/2" X 10'</t>
  </si>
  <si>
    <t>ABRAZADERA UNITRON DE 2"</t>
  </si>
  <si>
    <t>ABRAZADERA DE 2"</t>
  </si>
  <si>
    <t>CONDUFLEX DE 2"</t>
  </si>
  <si>
    <t>CONECTOR CURVO LT DE 2"</t>
  </si>
  <si>
    <t>CONETOR RECTO LT DE 2"</t>
  </si>
  <si>
    <t>LT DE 2"</t>
  </si>
  <si>
    <t>CONECTOR CURVO BX DE 2"</t>
  </si>
  <si>
    <t>CONETOR RECTO BX 2"</t>
  </si>
  <si>
    <t>BX DE 2"</t>
  </si>
  <si>
    <t>CONETOR HUB DE 2"</t>
  </si>
  <si>
    <t>CURVA IMC DE 2"</t>
  </si>
  <si>
    <t>IMC DE 2" X 19'</t>
  </si>
  <si>
    <t xml:space="preserve">CONECTOR RECTO EMT DE 2" </t>
  </si>
  <si>
    <t>COUPLING EMT DE 2"</t>
  </si>
  <si>
    <t xml:space="preserve">CURVA EMT DE 2" </t>
  </si>
  <si>
    <t>EMT DE 2" X 10'</t>
  </si>
  <si>
    <t>CONDULET DE 2"</t>
  </si>
  <si>
    <t>ABRAZADERA UNITRON DE 1-1/2"</t>
  </si>
  <si>
    <t>ABRAZADERA DE 1-1/2"</t>
  </si>
  <si>
    <t>CONDUFLEX DE 1-1/2"</t>
  </si>
  <si>
    <t>CONECTOR CURVO LT DE 1-1/2"</t>
  </si>
  <si>
    <t>CONETOR RECTO LT DE 1-1/2"</t>
  </si>
  <si>
    <t>LT DE 1-1/2"</t>
  </si>
  <si>
    <t>CONECTOR CURVO BX DE 1-1/2"</t>
  </si>
  <si>
    <t>CONETOR RECTO BX 1-1/2"</t>
  </si>
  <si>
    <t>BX DE 1-1/2"</t>
  </si>
  <si>
    <t>CONETOR HUB DE 1-1/2"</t>
  </si>
  <si>
    <t>CURVA IMC DE 1-1/2"</t>
  </si>
  <si>
    <t>IMC DE 1-1/2" X 19'</t>
  </si>
  <si>
    <t xml:space="preserve">CONECTOR RECTO EMT DE 1-1/2" </t>
  </si>
  <si>
    <t>COUPLING EMT DE 1-1/2"</t>
  </si>
  <si>
    <t xml:space="preserve">CURVA EMT DE 1-1/2" </t>
  </si>
  <si>
    <t>EMT DE 1-1/2" X 10'</t>
  </si>
  <si>
    <t>CONDULET DE 1-1/2"</t>
  </si>
  <si>
    <t>ABRAZADERA UNITRON DE 1"</t>
  </si>
  <si>
    <t>ABRAZADERA DE 1"</t>
  </si>
  <si>
    <t>CONDUFLEX DE 1"</t>
  </si>
  <si>
    <t>CONECTOR CURVO LT DE 1"</t>
  </si>
  <si>
    <t>CONETOR RECTO LT DE 1"</t>
  </si>
  <si>
    <t>LT DE 1"</t>
  </si>
  <si>
    <t>CONECTOR CURVO BX DE 1"</t>
  </si>
  <si>
    <t>CONETOR RECTO BX 1"</t>
  </si>
  <si>
    <t>BX DE 1"</t>
  </si>
  <si>
    <t>CONETOR HUB DE 1"</t>
  </si>
  <si>
    <t>CURVA IMC DE 1"</t>
  </si>
  <si>
    <t>IMC DE 1" X 19'</t>
  </si>
  <si>
    <t xml:space="preserve">CONECTOR RECTO EMT DE 1" </t>
  </si>
  <si>
    <t>COUPLING EMT DE 1"</t>
  </si>
  <si>
    <t xml:space="preserve">CURVA EMT DE 1" </t>
  </si>
  <si>
    <t>EMT DE 1" X 10'</t>
  </si>
  <si>
    <t>CONDULET DE 1"</t>
  </si>
  <si>
    <t>ABRAZADERA UNITRON DE 3/4"</t>
  </si>
  <si>
    <t>CONDUFLEX DE 3/4"</t>
  </si>
  <si>
    <t>CONECTOR CURVO LT DE 3/4"</t>
  </si>
  <si>
    <t>CONETOR RECTO LT DE 3/4"</t>
  </si>
  <si>
    <t>LT DE 3/4"</t>
  </si>
  <si>
    <t>CONECTOR CURVO BX DE 3/4"</t>
  </si>
  <si>
    <t>CONETOR RECTO BX 3/4"</t>
  </si>
  <si>
    <t>BX DE 3/4"</t>
  </si>
  <si>
    <t>CONETOR HUB DE 3/4"</t>
  </si>
  <si>
    <t>CURVA IMC DE 3/4"</t>
  </si>
  <si>
    <t>IMC DE 3/4" X 19'</t>
  </si>
  <si>
    <t>CONDULET DE 3/4"</t>
  </si>
  <si>
    <t>ABRAZADERA UNITRON DE 1/2"</t>
  </si>
  <si>
    <t>CONDUFLEX DE 1/2"</t>
  </si>
  <si>
    <t>CONECTOR CURVO LT DE 1/2"</t>
  </si>
  <si>
    <t>CONETOR RECTO LT DE 1/2"</t>
  </si>
  <si>
    <t>LT DE 1/2"</t>
  </si>
  <si>
    <t>CONECTOR CURVO BX DE 1/2"</t>
  </si>
  <si>
    <t>CONETOR RECTO BX 1/2"</t>
  </si>
  <si>
    <t>BX DE 1/2"</t>
  </si>
  <si>
    <t>CONETOR HUB DE 1/2"</t>
  </si>
  <si>
    <t>CURVA IMC DE 1/2"</t>
  </si>
  <si>
    <t>IMC DE 1/2" X 19'</t>
  </si>
  <si>
    <t>CONDULET DE 1/2"</t>
  </si>
  <si>
    <t>EXPANSION DE 3/8" X 2"</t>
  </si>
  <si>
    <t>TORNILLO HEXAGONAL DE 3/8" X 1-1/2"</t>
  </si>
  <si>
    <t>TAPE 3M SCOTT +23</t>
  </si>
  <si>
    <t>TAPA TOMACORRIENTE 220Vac METAL</t>
  </si>
  <si>
    <t>TAPA TOMACORRIENTE 220Vac PLASTICO</t>
  </si>
  <si>
    <t>TOMACORRIENTE 220Vac COMPL. LEVINTON</t>
  </si>
  <si>
    <t>TAPA TOMACORRIENTE 110Vac PLASTICA</t>
  </si>
  <si>
    <t>TOMACORRIENTE 110Vac COMPL. LEVINTON</t>
  </si>
  <si>
    <t>INT. 4W BTICINO</t>
  </si>
  <si>
    <t>INT. 4W LEVINTON</t>
  </si>
  <si>
    <t>INT. 3W LEVINTON</t>
  </si>
  <si>
    <t>TAPA METAL INT.DOBLE</t>
  </si>
  <si>
    <t>TAPA PLASTICA INT.DOBLE</t>
  </si>
  <si>
    <t>INT DOBLE. LEVINTON COMPLETO</t>
  </si>
  <si>
    <t>TAPA METAL INT.SENCILLO</t>
  </si>
  <si>
    <t>TAPA PLASTICA INT.SENCILLO</t>
  </si>
  <si>
    <t>INT SEN. LEVINTON COMPLETO</t>
  </si>
  <si>
    <t>LAMP. 2 X 2 3T-T8/32W PLAF. CON DIF.PARAB.</t>
  </si>
  <si>
    <t>TIMBRE ZUMBADOR BTICINO</t>
  </si>
  <si>
    <t>REG. 12" X 12" X 6" N3R</t>
  </si>
  <si>
    <t>REG. 12" X 12" X 4" N3R</t>
  </si>
  <si>
    <t>REG. 12" X 12" X 6" N1R</t>
  </si>
  <si>
    <t>REG. 12" X 12" X 4" N1R</t>
  </si>
  <si>
    <t>REG. 6" X 6" X 6" N3R</t>
  </si>
  <si>
    <t>REG. 6 X 6 X 4 NIR</t>
  </si>
  <si>
    <t>REG. 5" X 5" X 2" AME</t>
  </si>
  <si>
    <t xml:space="preserve">TAPA DE METAL 2 X 4 </t>
  </si>
  <si>
    <t>TUERCA UF DE 3/4</t>
  </si>
  <si>
    <t>TAPA OCTAGONAL 3/4</t>
  </si>
  <si>
    <t>CAJA OCTAGONAL DE 3/4"</t>
  </si>
  <si>
    <t>ALAMBRE THW #6</t>
  </si>
  <si>
    <t>ALAMBRE THW #8</t>
  </si>
  <si>
    <t>ALAMBRE DE GOMA #6/4</t>
  </si>
  <si>
    <t>ALAMBRE DE GOMA #6/3</t>
  </si>
  <si>
    <t>ALAMBRE DE GOMA #6/2</t>
  </si>
  <si>
    <t>ALAMBRE DE GOMA #8/4</t>
  </si>
  <si>
    <t>ALAMBRE DE GOMA #8/3</t>
  </si>
  <si>
    <t>ALAMBRE DE GOMA #8/2</t>
  </si>
  <si>
    <t>ALAMBRE DE GOMA #10/4</t>
  </si>
  <si>
    <t>ALAMBRE DE GOMA #10/3</t>
  </si>
  <si>
    <t>ALAMBRE DE GOMA #10/2</t>
  </si>
  <si>
    <t>ALAMBRE DE GOMA #12/3</t>
  </si>
  <si>
    <t>ALAMBRE DE GOMA #12/2</t>
  </si>
  <si>
    <t>ALAMBRE DE GOMA #14/2</t>
  </si>
  <si>
    <t>itbis</t>
  </si>
  <si>
    <t>MANO DE OBRA ELECTRICA</t>
  </si>
  <si>
    <t xml:space="preserve">PANEL DE DISTRIBUCION TIPO  (PA-2),  (PB-2),  (PC-2)  y  (PD-2) </t>
  </si>
  <si>
    <t xml:space="preserve"> TUB.EMT DE 3/4" X 10'</t>
  </si>
  <si>
    <t>PUERTAS, VENTANAS Y  ALUMINIO- VIDRIO</t>
  </si>
  <si>
    <t>Puerta Acustica</t>
  </si>
  <si>
    <t>Puertas de madera preciosa a todo costo</t>
  </si>
  <si>
    <t>Puerta principal de madera  preciosa a todo costo</t>
  </si>
  <si>
    <t>DIVISIONES LIGERAS</t>
  </si>
  <si>
    <t>IMPERMEABILIZANTE</t>
  </si>
  <si>
    <t xml:space="preserve">Piso dinofelx para gimnasios </t>
  </si>
  <si>
    <t>SD-100-ING.RAN</t>
  </si>
  <si>
    <t>VDS-84-GALION</t>
  </si>
  <si>
    <t>CA-25-DINAPAC</t>
  </si>
  <si>
    <t>VIBRADORES</t>
  </si>
  <si>
    <t>600-RAIC</t>
  </si>
  <si>
    <t xml:space="preserve">RODILLOS </t>
  </si>
  <si>
    <t>LISO GALION</t>
  </si>
  <si>
    <t>CAT-45BUF</t>
  </si>
  <si>
    <t>DW-20A-CAT</t>
  </si>
  <si>
    <t>815-CAT</t>
  </si>
  <si>
    <t>825C-CAT</t>
  </si>
  <si>
    <t>DW-21-CAT</t>
  </si>
  <si>
    <t>621-CAT</t>
  </si>
  <si>
    <t>631B-CAT</t>
  </si>
  <si>
    <t>631D-CAT</t>
  </si>
  <si>
    <t>MOTOTRAILLA</t>
  </si>
  <si>
    <t>955K-CAT</t>
  </si>
  <si>
    <t>955L-CAT</t>
  </si>
  <si>
    <t>977L-CAT</t>
  </si>
  <si>
    <t>D755-KOM</t>
  </si>
  <si>
    <t>MINICBOBCAT</t>
  </si>
  <si>
    <t>920-CAT</t>
  </si>
  <si>
    <t>510-INTER</t>
  </si>
  <si>
    <t>930-CAT</t>
  </si>
  <si>
    <t>W70-KOM</t>
  </si>
  <si>
    <t>COSTO
RD$</t>
  </si>
  <si>
    <t>LUBRICANTE
0.20 COMB.</t>
  </si>
  <si>
    <t>ALQUILER 
TARIFA 1/2/2004</t>
  </si>
  <si>
    <t>HP</t>
  </si>
  <si>
    <t>MODELO</t>
  </si>
  <si>
    <t>TARIFA EQUIPOS PESADOS PARA LA CONSTRUCCION</t>
  </si>
  <si>
    <t>950-CAT</t>
  </si>
  <si>
    <t>936 E</t>
  </si>
  <si>
    <t>950B-CAT</t>
  </si>
  <si>
    <t>530-INTER</t>
  </si>
  <si>
    <t>60C-TEREX</t>
  </si>
  <si>
    <t>966C-CAT</t>
  </si>
  <si>
    <t>966D-CAT</t>
  </si>
  <si>
    <t>960 F</t>
  </si>
  <si>
    <t>966 F</t>
  </si>
  <si>
    <t>966 G</t>
  </si>
  <si>
    <t>980-CAT</t>
  </si>
  <si>
    <t>980C-CAT</t>
  </si>
  <si>
    <t>988B-CAT</t>
  </si>
  <si>
    <t>365 B-L</t>
  </si>
  <si>
    <t xml:space="preserve">320B-CAT </t>
  </si>
  <si>
    <t xml:space="preserve">320-CAT </t>
  </si>
  <si>
    <t>225-CAT</t>
  </si>
  <si>
    <t>235-CAT</t>
  </si>
  <si>
    <t>12-8T-CAT</t>
  </si>
  <si>
    <t>14 G</t>
  </si>
  <si>
    <t>12E-CAT</t>
  </si>
  <si>
    <t>120-OG-CAT</t>
  </si>
  <si>
    <t>12F-CAT</t>
  </si>
  <si>
    <t>GD-37KOM</t>
  </si>
  <si>
    <t>12G-CAT</t>
  </si>
  <si>
    <t>12 H</t>
  </si>
  <si>
    <t>140 H</t>
  </si>
  <si>
    <t>D4E-CAT</t>
  </si>
  <si>
    <t>D5B-CAT</t>
  </si>
  <si>
    <t>D60-A-KOM</t>
  </si>
  <si>
    <t>TD-15C-INT</t>
  </si>
  <si>
    <t>D6C-CAT</t>
  </si>
  <si>
    <t>D6D-CAT</t>
  </si>
  <si>
    <t>D65-A-KOM</t>
  </si>
  <si>
    <t>D7E-CAT</t>
  </si>
  <si>
    <t>D7F-CAT</t>
  </si>
  <si>
    <t>D7G-CAT</t>
  </si>
  <si>
    <t>D85-A-KOM</t>
  </si>
  <si>
    <t>D8H-36A-CAT</t>
  </si>
  <si>
    <t>D8H-46A-CAT</t>
  </si>
  <si>
    <t>D8K-CAT</t>
  </si>
  <si>
    <t>D155A-KOM</t>
  </si>
  <si>
    <t>D8L-CAT</t>
  </si>
  <si>
    <t>D8R-CAT</t>
  </si>
  <si>
    <t>COMBUSTIBLE</t>
  </si>
  <si>
    <t>D9H-CAT</t>
  </si>
  <si>
    <t>ITBIS</t>
  </si>
  <si>
    <t>D9L-CAT</t>
  </si>
  <si>
    <t>TRACTORES</t>
  </si>
  <si>
    <t>COMBUSTIBLE
0.04HP*PREC. COMB.</t>
  </si>
  <si>
    <t>ALQUILER +
18% ITBIS</t>
  </si>
  <si>
    <t xml:space="preserve">              </t>
  </si>
  <si>
    <t>MOTONIVE-LADORAS (GREDER)</t>
  </si>
  <si>
    <t>RETROEXCAVADORAS</t>
  </si>
  <si>
    <t>CARGADORES  FRONTALES</t>
  </si>
  <si>
    <t>CARGADORES DE ORUGA</t>
  </si>
  <si>
    <t>COMPACTADORES Y RODILLOS ESTATICOS</t>
  </si>
  <si>
    <t>ABRAZADERA GALVANIZADA 3" TOPAZ 1/25</t>
  </si>
  <si>
    <t>ANA-SAN</t>
  </si>
  <si>
    <t>ANA-ELEC</t>
  </si>
  <si>
    <t>GUIA DE COSTOS DE LA CONSTRUCCION EN REPUBLICA DOMINICANA PARA LOS COLEGIADOS</t>
  </si>
  <si>
    <t>1RA. EDICIÓN</t>
  </si>
  <si>
    <t>11 NOVIEMBRE . 2015</t>
  </si>
  <si>
    <t>No.</t>
  </si>
  <si>
    <t>PARTIDAS</t>
  </si>
  <si>
    <t>1-</t>
  </si>
  <si>
    <t>b.-</t>
  </si>
  <si>
    <t>2-</t>
  </si>
  <si>
    <t>a.-</t>
  </si>
  <si>
    <t>c.-</t>
  </si>
  <si>
    <t>d.-</t>
  </si>
  <si>
    <t>Bote de material</t>
  </si>
  <si>
    <t>3-</t>
  </si>
  <si>
    <t>LIMPIEZA FINAL</t>
  </si>
  <si>
    <t>Limpieza continua y  final</t>
  </si>
  <si>
    <t>RD$</t>
  </si>
  <si>
    <t>GASTOS  INDIRECTOS</t>
  </si>
  <si>
    <t>DIRECCION  TECNICA</t>
  </si>
  <si>
    <t xml:space="preserve">TRANSPORTE </t>
  </si>
  <si>
    <t>GASTOS ADMINISTRATIVOS</t>
  </si>
  <si>
    <t xml:space="preserve">SEGUROS Y FIANZAS </t>
  </si>
  <si>
    <t xml:space="preserve">IMPREVISTOS </t>
  </si>
  <si>
    <t>SUB-TOTAL GASTOS  INDIRECTOS</t>
  </si>
  <si>
    <t xml:space="preserve">TOTAL GENERAL </t>
  </si>
  <si>
    <t>PREPARADO POR:</t>
  </si>
  <si>
    <t>Provincia Barahona</t>
  </si>
  <si>
    <t>SUB TOTAL CONSTRUCCION</t>
  </si>
  <si>
    <t xml:space="preserve">CODIA </t>
  </si>
  <si>
    <t>ITBIS ( 18% )</t>
  </si>
  <si>
    <t>PENSIONES</t>
  </si>
  <si>
    <t>Limpieza inicial</t>
  </si>
  <si>
    <t>Replanteo de Conenes</t>
  </si>
  <si>
    <t>Demolicion de aceras y conenes en deterioro exisenes</t>
  </si>
  <si>
    <t>Bote de maeriales</t>
  </si>
  <si>
    <t xml:space="preserve">Excavación de contenes </t>
  </si>
  <si>
    <t>Relleno  compactado bajo acera   ( e = 0,30 mt )</t>
  </si>
  <si>
    <t>HORMIGON ARMADO 210 kg/cm2</t>
  </si>
  <si>
    <t>Conenes Hor. Arm 210 km/cm2</t>
  </si>
  <si>
    <t>Aceras Barridas  Hor. Arm 210 km/cm2</t>
  </si>
  <si>
    <t>Hormigon compleivo en conenes</t>
  </si>
  <si>
    <t>24 de Septiembre del  2021</t>
  </si>
  <si>
    <t>Presupuesto preparado de acuerdo a las cudrillas y precios actualizados del Codia y
 resolucion de precios del Ministerio de Trabajo</t>
  </si>
  <si>
    <r>
      <t xml:space="preserve">PROVINCIA: </t>
    </r>
    <r>
      <rPr>
        <sz val="26"/>
        <rFont val="Times New Roman"/>
        <family val="1"/>
      </rPr>
      <t>BARAHONA</t>
    </r>
  </si>
  <si>
    <r>
      <t xml:space="preserve">MUNICIPIO: </t>
    </r>
    <r>
      <rPr>
        <sz val="26"/>
        <rFont val="Times New Roman"/>
        <family val="1"/>
      </rPr>
      <t>ENRIQUILLO</t>
    </r>
  </si>
  <si>
    <t xml:space="preserve">DEPARTAMENTO DE DISEÑO Y PRESUPUESTO </t>
  </si>
  <si>
    <t>MUNICIPIO ENRIQUILLO</t>
  </si>
  <si>
    <r>
      <t xml:space="preserve">TIPO DE OBRA: </t>
    </r>
    <r>
      <rPr>
        <sz val="26"/>
        <rFont val="Times New Roman"/>
        <family val="1"/>
      </rPr>
      <t>CONSTRUCCION DE ACERAS Y CONTENES</t>
    </r>
  </si>
  <si>
    <t xml:space="preserve">                                                                     DEPARTAMENTO DE CONSTRUCCIONES</t>
  </si>
  <si>
    <t xml:space="preserve">     DISEÑOS Y PRESUPUESTOS </t>
  </si>
  <si>
    <t xml:space="preserve">                                                   AYUNTAMINETO MUNICIPAL ENRUILLO DE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</si>
</sst>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;\-#,##0.00\ &quot;€&quot;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0.0000"/>
    <numFmt numFmtId="169" formatCode="General_)"/>
    <numFmt numFmtId="170" formatCode="0.00000"/>
    <numFmt numFmtId="171" formatCode="_-* #,##0.00_-;\-* #,##0.00_-;_-* &quot;-&quot;??_-;_-@_-"/>
    <numFmt numFmtId="172" formatCode="0_)"/>
    <numFmt numFmtId="173" formatCode="0.00_)"/>
    <numFmt numFmtId="174" formatCode="_-* #,##0.0000_-;\-* #,##0.0000_-;_-* &quot;-&quot;??_-;_-@_-"/>
    <numFmt numFmtId="175" formatCode="#,##0.00;[Red]#,##0.00"/>
    <numFmt numFmtId="176" formatCode="#,##0.0000_);\(#,##0.0000\)"/>
    <numFmt numFmtId="177" formatCode="0.\-"/>
    <numFmt numFmtId="178" formatCode="&quot;$&quot;#,##0;\-&quot;$&quot;#,##0"/>
    <numFmt numFmtId="179" formatCode="_-&quot;RD$&quot;* #,##0.00_-;\-&quot;RD$&quot;* #,##0.00_-;_-&quot;RD$&quot;* &quot;-&quot;??_-;_-@_-"/>
    <numFmt numFmtId="180" formatCode="_-&quot;$&quot;* #,##0.00_-;\-&quot;$&quot;* #,##0.00_-;_-&quot;$&quot;* &quot;-&quot;??_-;_-@_-"/>
    <numFmt numFmtId="181" formatCode="#,##0.0000"/>
    <numFmt numFmtId="182" formatCode="[$$-409]#,##0.00"/>
    <numFmt numFmtId="183" formatCode="#,##0.00\ _€"/>
    <numFmt numFmtId="184" formatCode="#,##0.00\ &quot;/m3&quot;"/>
    <numFmt numFmtId="185" formatCode="_([$€-2]* #,##0.00_);_([$€-2]* \(#,##0.00\);_([$€-2]* &quot;-&quot;??_)"/>
    <numFmt numFmtId="186" formatCode="&quot; &quot;#,##0.00&quot; &quot;;&quot; (&quot;#,##0.00&quot;)&quot;;&quot; -&quot;#&quot; &quot;;&quot; &quot;@&quot; &quot;"/>
    <numFmt numFmtId="187" formatCode="[$-409]General"/>
    <numFmt numFmtId="188" formatCode="#."/>
    <numFmt numFmtId="189" formatCode="#,##0.00000000000"/>
    <numFmt numFmtId="190" formatCode="#,##0.00\ &quot;M³S&quot;"/>
    <numFmt numFmtId="191" formatCode="_(* #,##0.000_);_(* \(#,##0.000\);_(* &quot;-&quot;??_);_(@_)"/>
    <numFmt numFmtId="192" formatCode="_(* #,##0\ &quot;pta&quot;_);_(* \(#,##0\ &quot;pta&quot;\);_(* &quot;-&quot;??\ &quot;pta&quot;_);_(@_)"/>
    <numFmt numFmtId="193" formatCode="mmmm\-yyyy"/>
    <numFmt numFmtId="194" formatCode="[$RD$-1C0A]#,##0.00"/>
    <numFmt numFmtId="195" formatCode="_(* #,##0.0_);_(* \(#,##0.0\);_(* &quot;-&quot;??_);_(@_)"/>
    <numFmt numFmtId="196" formatCode="#,##0.00_ ;\-#,##0.00\ "/>
  </numFmts>
  <fonts count="9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theme="0"/>
      <name val="Verdana"/>
      <family val="2"/>
    </font>
    <font>
      <b/>
      <sz val="11"/>
      <color theme="0"/>
      <name val="Times New Roman"/>
      <family val="1"/>
    </font>
    <font>
      <b/>
      <sz val="8"/>
      <color indexed="8"/>
      <name val="Verdana"/>
      <family val="2"/>
    </font>
    <font>
      <b/>
      <sz val="12"/>
      <color theme="1"/>
      <name val="Verdana"/>
      <family val="2"/>
    </font>
    <font>
      <sz val="10"/>
      <color indexed="9"/>
      <name val="Verdan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theme="0"/>
      <name val="Verdana"/>
      <family val="2"/>
    </font>
    <font>
      <sz val="8"/>
      <color indexed="8"/>
      <name val="Arial"/>
      <family val="1"/>
      <charset val="204"/>
    </font>
    <font>
      <b/>
      <sz val="14"/>
      <name val="Verdana"/>
      <family val="2"/>
    </font>
    <font>
      <b/>
      <sz val="10"/>
      <color theme="1"/>
      <name val="Arial"/>
      <family val="2"/>
    </font>
    <font>
      <sz val="14"/>
      <name val="Korinna BT"/>
      <family val="1"/>
    </font>
    <font>
      <sz val="10"/>
      <name val="Korinna BT"/>
      <family val="1"/>
    </font>
    <font>
      <sz val="9"/>
      <name val="Korinna BT"/>
      <family val="1"/>
    </font>
    <font>
      <sz val="16"/>
      <name val="Korinna BT"/>
      <family val="1"/>
    </font>
    <font>
      <b/>
      <sz val="20"/>
      <name val="Korinna BT"/>
      <family val="1"/>
    </font>
    <font>
      <sz val="14"/>
      <name val="Verdana"/>
      <family val="2"/>
    </font>
    <font>
      <sz val="11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6"/>
      <name val="Verdana"/>
      <family val="2"/>
    </font>
    <font>
      <b/>
      <sz val="20"/>
      <name val="Verdana"/>
      <family val="2"/>
    </font>
    <font>
      <b/>
      <sz val="22"/>
      <name val="Verdana"/>
      <family val="2"/>
    </font>
    <font>
      <b/>
      <sz val="16"/>
      <color theme="0"/>
      <name val="Verdana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Calibri"/>
      <family val="2"/>
      <scheme val="minor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sz val="26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56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65">
    <xf numFmtId="0" fontId="0" fillId="0" borderId="0"/>
    <xf numFmtId="0" fontId="13" fillId="2" borderId="0" applyNumberFormat="0" applyBorder="0" applyAlignment="0" applyProtection="0"/>
    <xf numFmtId="0" fontId="12" fillId="4" borderId="2" applyNumberFormat="0" applyAlignment="0" applyProtection="0"/>
    <xf numFmtId="0" fontId="16" fillId="0" borderId="3" applyNumberFormat="0" applyFill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3" borderId="1" applyNumberFormat="0" applyAlignment="0" applyProtection="0"/>
    <xf numFmtId="166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9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0" fillId="0" borderId="0"/>
    <xf numFmtId="0" fontId="7" fillId="5" borderId="4" applyNumberFormat="0" applyFon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7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8" borderId="0" applyNumberFormat="0" applyBorder="0" applyAlignment="0" applyProtection="0"/>
    <xf numFmtId="0" fontId="23" fillId="23" borderId="1" applyNumberFormat="0" applyAlignment="0" applyProtection="0"/>
    <xf numFmtId="0" fontId="12" fillId="4" borderId="2" applyNumberFormat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17" fillId="0" borderId="29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1" applyNumberFormat="0" applyAlignment="0" applyProtection="0"/>
    <xf numFmtId="0" fontId="16" fillId="0" borderId="3" applyNumberFormat="0" applyFill="0" applyAlignment="0" applyProtection="0"/>
    <xf numFmtId="171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8" fillId="5" borderId="4" applyNumberFormat="0" applyFont="0" applyAlignment="0" applyProtection="0"/>
    <xf numFmtId="0" fontId="27" fillId="23" borderId="30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0" fillId="0" borderId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43" fontId="33" fillId="0" borderId="0" applyFont="0" applyFill="0" applyBorder="0" applyAlignment="0" applyProtection="0"/>
    <xf numFmtId="0" fontId="20" fillId="0" borderId="0"/>
    <xf numFmtId="0" fontId="11" fillId="0" borderId="0"/>
    <xf numFmtId="171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" fillId="0" borderId="0"/>
    <xf numFmtId="0" fontId="2" fillId="0" borderId="0"/>
    <xf numFmtId="0" fontId="5" fillId="5" borderId="4" applyNumberFormat="0" applyFont="0" applyAlignment="0" applyProtection="0"/>
    <xf numFmtId="0" fontId="5" fillId="5" borderId="4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182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1" fillId="0" borderId="0"/>
    <xf numFmtId="182" fontId="20" fillId="11" borderId="0" applyNumberFormat="0" applyBorder="0" applyAlignment="0" applyProtection="0"/>
    <xf numFmtId="182" fontId="20" fillId="11" borderId="0" applyNumberFormat="0" applyBorder="0" applyAlignment="0" applyProtection="0"/>
    <xf numFmtId="182" fontId="20" fillId="11" borderId="0" applyNumberFormat="0" applyBorder="0" applyAlignment="0" applyProtection="0"/>
    <xf numFmtId="182" fontId="20" fillId="12" borderId="0" applyNumberFormat="0" applyBorder="0" applyAlignment="0" applyProtection="0"/>
    <xf numFmtId="182" fontId="20" fillId="12" borderId="0" applyNumberFormat="0" applyBorder="0" applyAlignment="0" applyProtection="0"/>
    <xf numFmtId="182" fontId="20" fillId="12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0" fillId="3" borderId="0" applyNumberFormat="0" applyBorder="0" applyAlignment="0" applyProtection="0"/>
    <xf numFmtId="182" fontId="20" fillId="3" borderId="0" applyNumberFormat="0" applyBorder="0" applyAlignment="0" applyProtection="0"/>
    <xf numFmtId="182" fontId="20" fillId="3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12" borderId="0" applyNumberFormat="0" applyBorder="0" applyAlignment="0" applyProtection="0"/>
    <xf numFmtId="182" fontId="20" fillId="12" borderId="0" applyNumberFormat="0" applyBorder="0" applyAlignment="0" applyProtection="0"/>
    <xf numFmtId="182" fontId="20" fillId="12" borderId="0" applyNumberFormat="0" applyBorder="0" applyAlignment="0" applyProtection="0"/>
    <xf numFmtId="182" fontId="20" fillId="30" borderId="0" applyNumberFormat="0" applyBorder="0" applyAlignment="0" applyProtection="0"/>
    <xf numFmtId="182" fontId="20" fillId="30" borderId="0" applyNumberFormat="0" applyBorder="0" applyAlignment="0" applyProtection="0"/>
    <xf numFmtId="182" fontId="20" fillId="30" borderId="0" applyNumberFormat="0" applyBorder="0" applyAlignment="0" applyProtection="0"/>
    <xf numFmtId="182" fontId="20" fillId="8" borderId="0" applyNumberFormat="0" applyBorder="0" applyAlignment="0" applyProtection="0"/>
    <xf numFmtId="182" fontId="20" fillId="8" borderId="0" applyNumberFormat="0" applyBorder="0" applyAlignment="0" applyProtection="0"/>
    <xf numFmtId="182" fontId="20" fillId="8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10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0" fillId="5" borderId="0" applyNumberFormat="0" applyBorder="0" applyAlignment="0" applyProtection="0"/>
    <xf numFmtId="182" fontId="21" fillId="10" borderId="0" applyNumberFormat="0" applyBorder="0" applyAlignment="0" applyProtection="0"/>
    <xf numFmtId="182" fontId="21" fillId="10" borderId="0" applyNumberFormat="0" applyBorder="0" applyAlignment="0" applyProtection="0"/>
    <xf numFmtId="182" fontId="21" fillId="10" borderId="0" applyNumberFormat="0" applyBorder="0" applyAlignment="0" applyProtection="0"/>
    <xf numFmtId="182" fontId="21" fillId="22" borderId="0" applyNumberFormat="0" applyBorder="0" applyAlignment="0" applyProtection="0"/>
    <xf numFmtId="182" fontId="21" fillId="22" borderId="0" applyNumberFormat="0" applyBorder="0" applyAlignment="0" applyProtection="0"/>
    <xf numFmtId="182" fontId="21" fillId="22" borderId="0" applyNumberFormat="0" applyBorder="0" applyAlignment="0" applyProtection="0"/>
    <xf numFmtId="182" fontId="21" fillId="14" borderId="0" applyNumberFormat="0" applyBorder="0" applyAlignment="0" applyProtection="0"/>
    <xf numFmtId="182" fontId="21" fillId="14" borderId="0" applyNumberFormat="0" applyBorder="0" applyAlignment="0" applyProtection="0"/>
    <xf numFmtId="182" fontId="21" fillId="14" borderId="0" applyNumberFormat="0" applyBorder="0" applyAlignment="0" applyProtection="0"/>
    <xf numFmtId="182" fontId="21" fillId="8" borderId="0" applyNumberFormat="0" applyBorder="0" applyAlignment="0" applyProtection="0"/>
    <xf numFmtId="182" fontId="21" fillId="8" borderId="0" applyNumberFormat="0" applyBorder="0" applyAlignment="0" applyProtection="0"/>
    <xf numFmtId="182" fontId="21" fillId="8" borderId="0" applyNumberFormat="0" applyBorder="0" applyAlignment="0" applyProtection="0"/>
    <xf numFmtId="182" fontId="21" fillId="10" borderId="0" applyNumberFormat="0" applyBorder="0" applyAlignment="0" applyProtection="0"/>
    <xf numFmtId="182" fontId="21" fillId="10" borderId="0" applyNumberFormat="0" applyBorder="0" applyAlignment="0" applyProtection="0"/>
    <xf numFmtId="182" fontId="21" fillId="10" borderId="0" applyNumberFormat="0" applyBorder="0" applyAlignment="0" applyProtection="0"/>
    <xf numFmtId="182" fontId="21" fillId="12" borderId="0" applyNumberFormat="0" applyBorder="0" applyAlignment="0" applyProtection="0"/>
    <xf numFmtId="182" fontId="21" fillId="12" borderId="0" applyNumberFormat="0" applyBorder="0" applyAlignment="0" applyProtection="0"/>
    <xf numFmtId="182" fontId="2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19" borderId="0" applyNumberFormat="0" applyBorder="0" applyAlignment="0" applyProtection="0"/>
    <xf numFmtId="0" fontId="46" fillId="31" borderId="0" applyNumberFormat="0" applyBorder="0" applyAlignment="0" applyProtection="0"/>
    <xf numFmtId="0" fontId="46" fillId="34" borderId="0" applyNumberFormat="0" applyBorder="0" applyAlignment="0" applyProtection="0"/>
    <xf numFmtId="0" fontId="52" fillId="35" borderId="0" applyNumberFormat="0" applyBorder="0" applyAlignment="0" applyProtection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4" borderId="0" applyNumberFormat="0" applyBorder="0" applyAlignment="0" applyProtection="0"/>
    <xf numFmtId="0" fontId="2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4" borderId="0" applyNumberFormat="0" applyBorder="0" applyAlignment="0" applyProtection="0"/>
    <xf numFmtId="0" fontId="52" fillId="36" borderId="0" applyNumberFormat="0" applyBorder="0" applyAlignment="0" applyProtection="0"/>
    <xf numFmtId="0" fontId="21" fillId="16" borderId="0" applyNumberFormat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52" fillId="33" borderId="0" applyNumberFormat="0" applyBorder="0" applyAlignment="0" applyProtection="0"/>
    <xf numFmtId="0" fontId="21" fillId="17" borderId="0" applyNumberFormat="0" applyBorder="0" applyAlignment="0" applyProtection="0"/>
    <xf numFmtId="0" fontId="46" fillId="31" borderId="0" applyNumberFormat="0" applyBorder="0" applyAlignment="0" applyProtection="0"/>
    <xf numFmtId="0" fontId="46" fillId="37" borderId="0" applyNumberFormat="0" applyBorder="0" applyAlignment="0" applyProtection="0"/>
    <xf numFmtId="0" fontId="52" fillId="38" borderId="0" applyNumberFormat="0" applyBorder="0" applyAlignment="0" applyProtection="0"/>
    <xf numFmtId="0" fontId="21" fillId="22" borderId="0" applyNumberFormat="0" applyBorder="0" applyAlignment="0" applyProtection="0"/>
    <xf numFmtId="182" fontId="13" fillId="10" borderId="0" applyNumberFormat="0" applyBorder="0" applyAlignment="0" applyProtection="0"/>
    <xf numFmtId="182" fontId="13" fillId="10" borderId="0" applyNumberFormat="0" applyBorder="0" applyAlignment="0" applyProtection="0"/>
    <xf numFmtId="182" fontId="13" fillId="10" borderId="0" applyNumberFormat="0" applyBorder="0" applyAlignment="0" applyProtection="0"/>
    <xf numFmtId="182" fontId="53" fillId="39" borderId="1" applyNumberFormat="0" applyAlignment="0" applyProtection="0"/>
    <xf numFmtId="182" fontId="53" fillId="39" borderId="1" applyNumberFormat="0" applyAlignment="0" applyProtection="0"/>
    <xf numFmtId="182" fontId="53" fillId="39" borderId="1" applyNumberFormat="0" applyAlignment="0" applyProtection="0"/>
    <xf numFmtId="182" fontId="12" fillId="4" borderId="2" applyNumberFormat="0" applyAlignment="0" applyProtection="0"/>
    <xf numFmtId="182" fontId="12" fillId="4" borderId="2" applyNumberFormat="0" applyAlignment="0" applyProtection="0"/>
    <xf numFmtId="182" fontId="12" fillId="4" borderId="2" applyNumberFormat="0" applyAlignment="0" applyProtection="0"/>
    <xf numFmtId="182" fontId="15" fillId="0" borderId="42" applyNumberFormat="0" applyFill="0" applyAlignment="0" applyProtection="0"/>
    <xf numFmtId="182" fontId="15" fillId="0" borderId="42" applyNumberFormat="0" applyFill="0" applyAlignment="0" applyProtection="0"/>
    <xf numFmtId="182" fontId="15" fillId="0" borderId="42" applyNumberFormat="0" applyFill="0" applyAlignment="0" applyProtection="0"/>
    <xf numFmtId="17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182" fontId="54" fillId="0" borderId="0" applyNumberFormat="0" applyFill="0" applyBorder="0" applyAlignment="0" applyProtection="0"/>
    <xf numFmtId="182" fontId="54" fillId="0" borderId="0" applyNumberFormat="0" applyFill="0" applyBorder="0" applyAlignment="0" applyProtection="0"/>
    <xf numFmtId="182" fontId="5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55" fillId="43" borderId="0" applyNumberFormat="0" applyBorder="0" applyAlignment="0" applyProtection="0"/>
    <xf numFmtId="0" fontId="55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32" borderId="0" applyNumberFormat="0" applyBorder="0" applyAlignment="0" applyProtection="0"/>
    <xf numFmtId="182" fontId="21" fillId="45" borderId="0" applyNumberFormat="0" applyBorder="0" applyAlignment="0" applyProtection="0"/>
    <xf numFmtId="182" fontId="21" fillId="45" borderId="0" applyNumberFormat="0" applyBorder="0" applyAlignment="0" applyProtection="0"/>
    <xf numFmtId="182" fontId="21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182" fontId="21" fillId="22" borderId="0" applyNumberFormat="0" applyBorder="0" applyAlignment="0" applyProtection="0"/>
    <xf numFmtId="182" fontId="21" fillId="22" borderId="0" applyNumberFormat="0" applyBorder="0" applyAlignment="0" applyProtection="0"/>
    <xf numFmtId="182" fontId="21" fillId="22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21" fillId="34" borderId="0" applyNumberFormat="0" applyBorder="0" applyAlignment="0" applyProtection="0"/>
    <xf numFmtId="182" fontId="21" fillId="14" borderId="0" applyNumberFormat="0" applyBorder="0" applyAlignment="0" applyProtection="0"/>
    <xf numFmtId="182" fontId="21" fillId="14" borderId="0" applyNumberFormat="0" applyBorder="0" applyAlignment="0" applyProtection="0"/>
    <xf numFmtId="182" fontId="21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182" fontId="21" fillId="47" borderId="0" applyNumberFormat="0" applyBorder="0" applyAlignment="0" applyProtection="0"/>
    <xf numFmtId="182" fontId="21" fillId="47" borderId="0" applyNumberFormat="0" applyBorder="0" applyAlignment="0" applyProtection="0"/>
    <xf numFmtId="182" fontId="21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44" borderId="0" applyNumberFormat="0" applyBorder="0" applyAlignment="0" applyProtection="0"/>
    <xf numFmtId="0" fontId="21" fillId="32" borderId="0" applyNumberFormat="0" applyBorder="0" applyAlignment="0" applyProtection="0"/>
    <xf numFmtId="182" fontId="21" fillId="17" borderId="0" applyNumberFormat="0" applyBorder="0" applyAlignment="0" applyProtection="0"/>
    <xf numFmtId="182" fontId="21" fillId="17" borderId="0" applyNumberFormat="0" applyBorder="0" applyAlignment="0" applyProtection="0"/>
    <xf numFmtId="182" fontId="21" fillId="17" borderId="0" applyNumberFormat="0" applyBorder="0" applyAlignment="0" applyProtection="0"/>
    <xf numFmtId="0" fontId="20" fillId="37" borderId="0" applyNumberFormat="0" applyBorder="0" applyAlignment="0" applyProtection="0"/>
    <xf numFmtId="0" fontId="20" fillId="31" borderId="0" applyNumberFormat="0" applyBorder="0" applyAlignment="0" applyProtection="0"/>
    <xf numFmtId="0" fontId="21" fillId="31" borderId="0" applyNumberFormat="0" applyBorder="0" applyAlignment="0" applyProtection="0"/>
    <xf numFmtId="182" fontId="21" fillId="20" borderId="0" applyNumberFormat="0" applyBorder="0" applyAlignment="0" applyProtection="0"/>
    <xf numFmtId="182" fontId="21" fillId="20" borderId="0" applyNumberFormat="0" applyBorder="0" applyAlignment="0" applyProtection="0"/>
    <xf numFmtId="182" fontId="21" fillId="20" borderId="0" applyNumberFormat="0" applyBorder="0" applyAlignment="0" applyProtection="0"/>
    <xf numFmtId="182" fontId="14" fillId="30" borderId="1" applyNumberFormat="0" applyAlignment="0" applyProtection="0"/>
    <xf numFmtId="182" fontId="14" fillId="30" borderId="1" applyNumberFormat="0" applyAlignment="0" applyProtection="0"/>
    <xf numFmtId="182" fontId="14" fillId="30" borderId="1" applyNumberFormat="0" applyAlignment="0" applyProtection="0"/>
    <xf numFmtId="18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6" fontId="56" fillId="0" borderId="0"/>
    <xf numFmtId="187" fontId="56" fillId="0" borderId="0"/>
    <xf numFmtId="188" fontId="57" fillId="0" borderId="0">
      <protection locked="0"/>
    </xf>
    <xf numFmtId="188" fontId="58" fillId="0" borderId="0">
      <protection locked="0"/>
    </xf>
    <xf numFmtId="188" fontId="58" fillId="0" borderId="0">
      <protection locked="0"/>
    </xf>
    <xf numFmtId="188" fontId="58" fillId="0" borderId="0">
      <protection locked="0"/>
    </xf>
    <xf numFmtId="188" fontId="58" fillId="0" borderId="0">
      <protection locked="0"/>
    </xf>
    <xf numFmtId="188" fontId="58" fillId="0" borderId="0">
      <protection locked="0"/>
    </xf>
    <xf numFmtId="188" fontId="58" fillId="0" borderId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82" fontId="60" fillId="0" borderId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182" fontId="22" fillId="9" borderId="0" applyNumberFormat="0" applyBorder="0" applyAlignment="0" applyProtection="0"/>
    <xf numFmtId="182" fontId="22" fillId="9" borderId="0" applyNumberFormat="0" applyBorder="0" applyAlignment="0" applyProtection="0"/>
    <xf numFmtId="182" fontId="22" fillId="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ill="0" applyBorder="0" applyAlignment="0" applyProtection="0"/>
    <xf numFmtId="0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2" fillId="30" borderId="0" applyNumberFormat="0" applyBorder="0" applyAlignment="0" applyProtection="0"/>
    <xf numFmtId="182" fontId="63" fillId="30" borderId="0" applyNumberFormat="0" applyBorder="0" applyAlignment="0" applyProtection="0"/>
    <xf numFmtId="182" fontId="63" fillId="30" borderId="0" applyNumberFormat="0" applyBorder="0" applyAlignment="0" applyProtection="0"/>
    <xf numFmtId="0" fontId="10" fillId="0" borderId="0"/>
    <xf numFmtId="0" fontId="5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1" fillId="0" borderId="0"/>
    <xf numFmtId="0" fontId="5" fillId="0" borderId="0"/>
    <xf numFmtId="0" fontId="5" fillId="0" borderId="0"/>
    <xf numFmtId="0" fontId="5" fillId="0" borderId="0"/>
    <xf numFmtId="182" fontId="1" fillId="0" borderId="0"/>
    <xf numFmtId="18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5" fillId="0" borderId="0"/>
    <xf numFmtId="0" fontId="5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0" fontId="5" fillId="0" borderId="0"/>
    <xf numFmtId="191" fontId="20" fillId="0" borderId="0"/>
    <xf numFmtId="182" fontId="20" fillId="0" borderId="0"/>
    <xf numFmtId="182" fontId="11" fillId="5" borderId="4" applyNumberFormat="0" applyFont="0" applyAlignment="0" applyProtection="0"/>
    <xf numFmtId="182" fontId="11" fillId="5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27" fillId="39" borderId="30" applyNumberFormat="0" applyAlignment="0" applyProtection="0"/>
    <xf numFmtId="182" fontId="27" fillId="39" borderId="30" applyNumberFormat="0" applyAlignment="0" applyProtection="0"/>
    <xf numFmtId="182" fontId="27" fillId="39" borderId="30" applyNumberFormat="0" applyAlignment="0" applyProtection="0"/>
    <xf numFmtId="0" fontId="64" fillId="0" borderId="0" applyNumberFormat="0" applyFill="0" applyBorder="0" applyAlignment="0" applyProtection="0"/>
    <xf numFmtId="182" fontId="15" fillId="0" borderId="0" applyNumberFormat="0" applyFill="0" applyBorder="0" applyAlignment="0" applyProtection="0"/>
    <xf numFmtId="182" fontId="15" fillId="0" borderId="0" applyNumberFormat="0" applyFill="0" applyBorder="0" applyAlignment="0" applyProtection="0"/>
    <xf numFmtId="182" fontId="15" fillId="0" borderId="0" applyNumberFormat="0" applyFill="0" applyBorder="0" applyAlignment="0" applyProtection="0"/>
    <xf numFmtId="182" fontId="24" fillId="0" borderId="0" applyNumberFormat="0" applyFill="0" applyBorder="0" applyAlignment="0" applyProtection="0"/>
    <xf numFmtId="182" fontId="24" fillId="0" borderId="0" applyNumberFormat="0" applyFill="0" applyBorder="0" applyAlignment="0" applyProtection="0"/>
    <xf numFmtId="182" fontId="24" fillId="0" borderId="0" applyNumberFormat="0" applyFill="0" applyBorder="0" applyAlignment="0" applyProtection="0"/>
    <xf numFmtId="182" fontId="65" fillId="0" borderId="43" applyNumberFormat="0" applyFill="0" applyAlignment="0" applyProtection="0"/>
    <xf numFmtId="182" fontId="65" fillId="0" borderId="43" applyNumberFormat="0" applyFill="0" applyAlignment="0" applyProtection="0"/>
    <xf numFmtId="182" fontId="65" fillId="0" borderId="43" applyNumberFormat="0" applyFill="0" applyAlignment="0" applyProtection="0"/>
    <xf numFmtId="182" fontId="66" fillId="0" borderId="44" applyNumberFormat="0" applyFill="0" applyAlignment="0" applyProtection="0"/>
    <xf numFmtId="182" fontId="66" fillId="0" borderId="44" applyNumberFormat="0" applyFill="0" applyAlignment="0" applyProtection="0"/>
    <xf numFmtId="182" fontId="66" fillId="0" borderId="44" applyNumberFormat="0" applyFill="0" applyAlignment="0" applyProtection="0"/>
    <xf numFmtId="182" fontId="54" fillId="0" borderId="45" applyNumberFormat="0" applyFill="0" applyAlignment="0" applyProtection="0"/>
    <xf numFmtId="182" fontId="54" fillId="0" borderId="45" applyNumberFormat="0" applyFill="0" applyAlignment="0" applyProtection="0"/>
    <xf numFmtId="182" fontId="54" fillId="0" borderId="45" applyNumberFormat="0" applyFill="0" applyAlignment="0" applyProtection="0"/>
    <xf numFmtId="182" fontId="64" fillId="0" borderId="0" applyNumberFormat="0" applyFill="0" applyBorder="0" applyAlignment="0" applyProtection="0"/>
    <xf numFmtId="182" fontId="64" fillId="0" borderId="0" applyNumberFormat="0" applyFill="0" applyBorder="0" applyAlignment="0" applyProtection="0"/>
    <xf numFmtId="182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5" fillId="0" borderId="46" applyNumberFormat="0" applyFill="0" applyAlignment="0" applyProtection="0"/>
    <xf numFmtId="182" fontId="55" fillId="0" borderId="47" applyNumberFormat="0" applyFill="0" applyAlignment="0" applyProtection="0"/>
    <xf numFmtId="182" fontId="55" fillId="0" borderId="47" applyNumberFormat="0" applyFill="0" applyAlignment="0" applyProtection="0"/>
    <xf numFmtId="19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19" fillId="0" borderId="0" applyNumberFormat="0"/>
    <xf numFmtId="0" fontId="19" fillId="0" borderId="0"/>
    <xf numFmtId="41" fontId="19" fillId="0" borderId="0" applyFont="0" applyFill="0" applyBorder="0" applyAlignment="0" applyProtection="0"/>
  </cellStyleXfs>
  <cellXfs count="472">
    <xf numFmtId="0" fontId="0" fillId="0" borderId="0" xfId="0"/>
    <xf numFmtId="0" fontId="30" fillId="0" borderId="0" xfId="36" applyFont="1" applyFill="1"/>
    <xf numFmtId="0" fontId="30" fillId="24" borderId="0" xfId="36" applyFont="1" applyFill="1"/>
    <xf numFmtId="0" fontId="30" fillId="0" borderId="0" xfId="36" applyFont="1"/>
    <xf numFmtId="0" fontId="30" fillId="0" borderId="0" xfId="36" applyFont="1" applyBorder="1"/>
    <xf numFmtId="0" fontId="31" fillId="0" borderId="0" xfId="36" applyFont="1" applyBorder="1"/>
    <xf numFmtId="0" fontId="31" fillId="24" borderId="0" xfId="36" applyFont="1" applyFill="1" applyBorder="1"/>
    <xf numFmtId="0" fontId="30" fillId="24" borderId="0" xfId="36" applyFont="1" applyFill="1" applyBorder="1"/>
    <xf numFmtId="0" fontId="30" fillId="0" borderId="0" xfId="36" applyFont="1" applyFill="1" applyAlignment="1"/>
    <xf numFmtId="39" fontId="29" fillId="0" borderId="0" xfId="36" applyNumberFormat="1" applyFont="1" applyFill="1" applyProtection="1"/>
    <xf numFmtId="175" fontId="30" fillId="0" borderId="0" xfId="36" applyNumberFormat="1" applyFont="1" applyFill="1" applyBorder="1"/>
    <xf numFmtId="0" fontId="30" fillId="6" borderId="0" xfId="36" applyFont="1" applyFill="1" applyBorder="1"/>
    <xf numFmtId="0" fontId="30" fillId="6" borderId="0" xfId="36" applyFont="1" applyFill="1"/>
    <xf numFmtId="0" fontId="30" fillId="0" borderId="15" xfId="36" applyFont="1" applyFill="1" applyBorder="1"/>
    <xf numFmtId="0" fontId="34" fillId="0" borderId="0" xfId="0" applyFont="1"/>
    <xf numFmtId="0" fontId="34" fillId="0" borderId="0" xfId="0" applyFont="1" applyFill="1"/>
    <xf numFmtId="0" fontId="31" fillId="6" borderId="0" xfId="36" applyFont="1" applyFill="1" applyBorder="1"/>
    <xf numFmtId="0" fontId="36" fillId="24" borderId="0" xfId="36" applyFont="1" applyFill="1" applyAlignment="1"/>
    <xf numFmtId="0" fontId="36" fillId="24" borderId="0" xfId="36" applyFont="1" applyFill="1" applyAlignment="1">
      <alignment horizontal="center"/>
    </xf>
    <xf numFmtId="175" fontId="36" fillId="24" borderId="0" xfId="36" applyNumberFormat="1" applyFont="1" applyFill="1" applyAlignment="1">
      <alignment horizontal="right"/>
    </xf>
    <xf numFmtId="175" fontId="36" fillId="24" borderId="0" xfId="36" applyNumberFormat="1" applyFont="1" applyFill="1" applyAlignment="1"/>
    <xf numFmtId="0" fontId="38" fillId="24" borderId="0" xfId="36" applyFont="1" applyFill="1" applyAlignment="1">
      <alignment vertical="justify"/>
    </xf>
    <xf numFmtId="0" fontId="37" fillId="24" borderId="0" xfId="36" applyFont="1" applyFill="1" applyAlignment="1">
      <alignment horizontal="center"/>
    </xf>
    <xf numFmtId="174" fontId="37" fillId="24" borderId="0" xfId="96" applyNumberFormat="1" applyFont="1" applyFill="1" applyAlignment="1">
      <alignment horizontal="center"/>
    </xf>
    <xf numFmtId="175" fontId="37" fillId="24" borderId="0" xfId="36" applyNumberFormat="1" applyFont="1" applyFill="1" applyAlignment="1">
      <alignment horizontal="right"/>
    </xf>
    <xf numFmtId="175" fontId="37" fillId="24" borderId="0" xfId="36" applyNumberFormat="1" applyFont="1" applyFill="1" applyAlignment="1"/>
    <xf numFmtId="4" fontId="39" fillId="24" borderId="20" xfId="36" applyNumberFormat="1" applyFont="1" applyFill="1" applyBorder="1" applyAlignment="1" applyProtection="1">
      <alignment horizontal="center"/>
    </xf>
    <xf numFmtId="174" fontId="39" fillId="24" borderId="21" xfId="96" applyNumberFormat="1" applyFont="1" applyFill="1" applyBorder="1" applyAlignment="1" applyProtection="1"/>
    <xf numFmtId="4" fontId="39" fillId="24" borderId="21" xfId="36" applyNumberFormat="1" applyFont="1" applyFill="1" applyBorder="1" applyAlignment="1" applyProtection="1">
      <alignment horizontal="center"/>
    </xf>
    <xf numFmtId="175" fontId="39" fillId="24" borderId="21" xfId="36" applyNumberFormat="1" applyFont="1" applyFill="1" applyBorder="1" applyAlignment="1" applyProtection="1">
      <alignment horizontal="center"/>
    </xf>
    <xf numFmtId="175" fontId="39" fillId="24" borderId="22" xfId="36" applyNumberFormat="1" applyFont="1" applyFill="1" applyBorder="1" applyAlignment="1" applyProtection="1">
      <alignment horizontal="center"/>
    </xf>
    <xf numFmtId="39" fontId="40" fillId="24" borderId="0" xfId="36" applyNumberFormat="1" applyFont="1" applyFill="1" applyProtection="1"/>
    <xf numFmtId="174" fontId="40" fillId="24" borderId="0" xfId="96" applyNumberFormat="1" applyFont="1" applyFill="1" applyProtection="1"/>
    <xf numFmtId="39" fontId="40" fillId="24" borderId="0" xfId="36" applyNumberFormat="1" applyFont="1" applyFill="1" applyAlignment="1" applyProtection="1">
      <alignment horizontal="center"/>
    </xf>
    <xf numFmtId="175" fontId="40" fillId="24" borderId="0" xfId="36" applyNumberFormat="1" applyFont="1" applyFill="1" applyAlignment="1" applyProtection="1">
      <alignment horizontal="right"/>
    </xf>
    <xf numFmtId="175" fontId="40" fillId="24" borderId="0" xfId="36" applyNumberFormat="1" applyFont="1" applyFill="1" applyAlignment="1" applyProtection="1"/>
    <xf numFmtId="171" fontId="38" fillId="24" borderId="17" xfId="96" applyFont="1" applyFill="1" applyBorder="1" applyAlignment="1">
      <alignment horizontal="left"/>
    </xf>
    <xf numFmtId="171" fontId="38" fillId="24" borderId="16" xfId="96" applyFont="1" applyFill="1" applyBorder="1" applyAlignment="1">
      <alignment horizontal="left"/>
    </xf>
    <xf numFmtId="175" fontId="38" fillId="24" borderId="16" xfId="96" applyNumberFormat="1" applyFont="1" applyFill="1" applyBorder="1" applyAlignment="1">
      <alignment horizontal="left"/>
    </xf>
    <xf numFmtId="171" fontId="38" fillId="24" borderId="18" xfId="96" applyFont="1" applyFill="1" applyBorder="1" applyAlignment="1">
      <alignment horizontal="left"/>
    </xf>
    <xf numFmtId="39" fontId="41" fillId="24" borderId="0" xfId="36" applyNumberFormat="1" applyFont="1" applyFill="1" applyProtection="1"/>
    <xf numFmtId="175" fontId="41" fillId="24" borderId="0" xfId="36" applyNumberFormat="1" applyFont="1" applyFill="1" applyAlignment="1" applyProtection="1">
      <alignment horizontal="right"/>
    </xf>
    <xf numFmtId="0" fontId="38" fillId="24" borderId="0" xfId="36" applyFont="1" applyFill="1" applyBorder="1" applyAlignment="1">
      <alignment wrapText="1"/>
    </xf>
    <xf numFmtId="174" fontId="42" fillId="24" borderId="0" xfId="96" applyNumberFormat="1" applyFont="1" applyFill="1" applyBorder="1"/>
    <xf numFmtId="4" fontId="42" fillId="24" borderId="0" xfId="36" applyNumberFormat="1" applyFont="1" applyFill="1" applyBorder="1" applyAlignment="1">
      <alignment horizontal="center"/>
    </xf>
    <xf numFmtId="175" fontId="38" fillId="24" borderId="26" xfId="36" applyNumberFormat="1" applyFont="1" applyFill="1" applyBorder="1" applyAlignment="1">
      <alignment horizontal="right"/>
    </xf>
    <xf numFmtId="175" fontId="38" fillId="24" borderId="26" xfId="36" applyNumberFormat="1" applyFont="1" applyFill="1" applyBorder="1" applyAlignment="1"/>
    <xf numFmtId="174" fontId="36" fillId="24" borderId="0" xfId="96" applyNumberFormat="1" applyFont="1" applyFill="1" applyBorder="1"/>
    <xf numFmtId="175" fontId="37" fillId="24" borderId="0" xfId="36" applyNumberFormat="1" applyFont="1" applyFill="1" applyBorder="1" applyAlignment="1">
      <alignment horizontal="right"/>
    </xf>
    <xf numFmtId="175" fontId="37" fillId="24" borderId="0" xfId="36" applyNumberFormat="1" applyFont="1" applyFill="1" applyBorder="1" applyAlignment="1"/>
    <xf numFmtId="175" fontId="38" fillId="24" borderId="0" xfId="36" applyNumberFormat="1" applyFont="1" applyFill="1" applyBorder="1" applyAlignment="1">
      <alignment horizontal="right"/>
    </xf>
    <xf numFmtId="175" fontId="38" fillId="24" borderId="0" xfId="36" applyNumberFormat="1" applyFont="1" applyFill="1" applyBorder="1" applyAlignment="1"/>
    <xf numFmtId="0" fontId="36" fillId="24" borderId="0" xfId="36" applyFont="1" applyFill="1"/>
    <xf numFmtId="2" fontId="36" fillId="24" borderId="0" xfId="36" applyNumberFormat="1" applyFont="1" applyFill="1" applyBorder="1" applyAlignment="1">
      <alignment horizontal="center"/>
    </xf>
    <xf numFmtId="0" fontId="36" fillId="24" borderId="0" xfId="36" applyFont="1" applyFill="1" applyBorder="1" applyAlignment="1">
      <alignment horizontal="center"/>
    </xf>
    <xf numFmtId="175" fontId="36" fillId="24" borderId="0" xfId="36" applyNumberFormat="1" applyFont="1" applyFill="1" applyBorder="1" applyAlignment="1">
      <alignment horizontal="right"/>
    </xf>
    <xf numFmtId="0" fontId="36" fillId="24" borderId="0" xfId="36" applyFont="1" applyFill="1" applyBorder="1"/>
    <xf numFmtId="175" fontId="36" fillId="24" borderId="0" xfId="36" applyNumberFormat="1" applyFont="1" applyFill="1" applyBorder="1"/>
    <xf numFmtId="0" fontId="36" fillId="24" borderId="0" xfId="0" applyFont="1" applyFill="1"/>
    <xf numFmtId="174" fontId="36" fillId="24" borderId="0" xfId="26" applyNumberFormat="1" applyFont="1" applyFill="1" applyBorder="1"/>
    <xf numFmtId="174" fontId="42" fillId="24" borderId="0" xfId="27" applyNumberFormat="1" applyFont="1" applyFill="1" applyBorder="1"/>
    <xf numFmtId="174" fontId="36" fillId="24" borderId="0" xfId="96" applyNumberFormat="1" applyFont="1" applyFill="1" applyBorder="1" applyAlignment="1">
      <alignment horizontal="center"/>
    </xf>
    <xf numFmtId="174" fontId="37" fillId="24" borderId="0" xfId="26" applyNumberFormat="1" applyFont="1" applyFill="1" applyBorder="1"/>
    <xf numFmtId="0" fontId="37" fillId="24" borderId="0" xfId="36" applyFont="1" applyFill="1" applyBorder="1" applyAlignment="1">
      <alignment horizontal="center"/>
    </xf>
    <xf numFmtId="0" fontId="36" fillId="24" borderId="0" xfId="36" applyFont="1" applyFill="1" applyAlignment="1">
      <alignment vertical="justify"/>
    </xf>
    <xf numFmtId="0" fontId="36" fillId="24" borderId="0" xfId="36" applyFont="1" applyFill="1" applyBorder="1" applyAlignment="1">
      <alignment vertical="center"/>
    </xf>
    <xf numFmtId="171" fontId="38" fillId="24" borderId="17" xfId="96" applyFont="1" applyFill="1" applyBorder="1" applyAlignment="1">
      <alignment horizontal="left" vertical="justify"/>
    </xf>
    <xf numFmtId="0" fontId="37" fillId="24" borderId="0" xfId="36" applyFont="1" applyFill="1"/>
    <xf numFmtId="174" fontId="36" fillId="24" borderId="0" xfId="96" applyNumberFormat="1" applyFont="1" applyFill="1"/>
    <xf numFmtId="4" fontId="37" fillId="24" borderId="0" xfId="36" applyNumberFormat="1" applyFont="1" applyFill="1" applyBorder="1"/>
    <xf numFmtId="174" fontId="37" fillId="24" borderId="0" xfId="96" applyNumberFormat="1" applyFont="1" applyFill="1" applyBorder="1"/>
    <xf numFmtId="174" fontId="36" fillId="24" borderId="0" xfId="108" applyNumberFormat="1" applyFont="1" applyFill="1" applyBorder="1"/>
    <xf numFmtId="175" fontId="36" fillId="24" borderId="0" xfId="26" applyNumberFormat="1" applyFont="1" applyFill="1" applyBorder="1"/>
    <xf numFmtId="39" fontId="41" fillId="24" borderId="0" xfId="36" applyNumberFormat="1" applyFont="1" applyFill="1" applyAlignment="1" applyProtection="1">
      <alignment vertical="justify"/>
    </xf>
    <xf numFmtId="174" fontId="36" fillId="24" borderId="0" xfId="27" applyNumberFormat="1" applyFont="1" applyFill="1" applyBorder="1"/>
    <xf numFmtId="175" fontId="36" fillId="24" borderId="0" xfId="27" applyNumberFormat="1" applyFont="1" applyFill="1" applyBorder="1"/>
    <xf numFmtId="4" fontId="36" fillId="24" borderId="0" xfId="36" applyNumberFormat="1" applyFont="1" applyFill="1" applyBorder="1" applyAlignment="1">
      <alignment vertical="center"/>
    </xf>
    <xf numFmtId="0" fontId="36" fillId="24" borderId="0" xfId="36" applyFont="1" applyFill="1" applyAlignment="1">
      <alignment horizontal="left"/>
    </xf>
    <xf numFmtId="174" fontId="36" fillId="24" borderId="0" xfId="49" applyNumberFormat="1" applyFont="1" applyFill="1" applyBorder="1"/>
    <xf numFmtId="175" fontId="36" fillId="24" borderId="0" xfId="49" applyNumberFormat="1" applyFont="1" applyFill="1" applyBorder="1"/>
    <xf numFmtId="175" fontId="36" fillId="24" borderId="0" xfId="96" applyNumberFormat="1" applyFont="1" applyFill="1" applyBorder="1"/>
    <xf numFmtId="175" fontId="36" fillId="24" borderId="0" xfId="108" applyNumberFormat="1" applyFont="1" applyFill="1" applyBorder="1"/>
    <xf numFmtId="171" fontId="36" fillId="24" borderId="0" xfId="26" applyFont="1" applyFill="1" applyBorder="1"/>
    <xf numFmtId="43" fontId="36" fillId="24" borderId="23" xfId="18" applyFont="1" applyFill="1" applyBorder="1" applyAlignment="1">
      <alignment vertical="center"/>
    </xf>
    <xf numFmtId="0" fontId="36" fillId="24" borderId="23" xfId="36" applyFont="1" applyFill="1" applyBorder="1" applyAlignment="1">
      <alignment vertical="center"/>
    </xf>
    <xf numFmtId="0" fontId="36" fillId="24" borderId="23" xfId="36" applyFont="1" applyFill="1" applyBorder="1"/>
    <xf numFmtId="43" fontId="36" fillId="6" borderId="23" xfId="18" applyFont="1" applyFill="1" applyBorder="1" applyAlignment="1">
      <alignment vertical="center"/>
    </xf>
    <xf numFmtId="0" fontId="36" fillId="24" borderId="23" xfId="36" applyFont="1" applyFill="1" applyBorder="1" applyAlignment="1">
      <alignment horizontal="center"/>
    </xf>
    <xf numFmtId="0" fontId="43" fillId="0" borderId="0" xfId="36" applyFont="1" applyBorder="1"/>
    <xf numFmtId="0" fontId="43" fillId="24" borderId="0" xfId="36" applyFont="1" applyFill="1" applyBorder="1"/>
    <xf numFmtId="0" fontId="43" fillId="24" borderId="0" xfId="38" applyFont="1" applyFill="1" applyBorder="1" applyAlignment="1">
      <alignment horizontal="center"/>
    </xf>
    <xf numFmtId="0" fontId="36" fillId="24" borderId="0" xfId="36" applyFont="1" applyFill="1" applyBorder="1" applyAlignment="1">
      <alignment vertical="justify"/>
    </xf>
    <xf numFmtId="0" fontId="45" fillId="0" borderId="23" xfId="36" applyFont="1" applyBorder="1"/>
    <xf numFmtId="0" fontId="43" fillId="0" borderId="23" xfId="36" applyFont="1" applyBorder="1"/>
    <xf numFmtId="0" fontId="43" fillId="24" borderId="23" xfId="36" applyFont="1" applyFill="1" applyBorder="1"/>
    <xf numFmtId="177" fontId="43" fillId="0" borderId="23" xfId="36" applyNumberFormat="1" applyFont="1" applyBorder="1"/>
    <xf numFmtId="39" fontId="41" fillId="24" borderId="23" xfId="36" applyNumberFormat="1" applyFont="1" applyFill="1" applyBorder="1" applyProtection="1"/>
    <xf numFmtId="0" fontId="43" fillId="24" borderId="23" xfId="38" applyFont="1" applyFill="1" applyBorder="1" applyAlignment="1">
      <alignment horizontal="center"/>
    </xf>
    <xf numFmtId="43" fontId="41" fillId="24" borderId="23" xfId="28" applyFont="1" applyFill="1" applyBorder="1" applyAlignment="1" applyProtection="1">
      <alignment horizontal="right"/>
    </xf>
    <xf numFmtId="43" fontId="36" fillId="24" borderId="23" xfId="28" applyFont="1" applyFill="1" applyBorder="1" applyAlignment="1">
      <alignment horizontal="right"/>
    </xf>
    <xf numFmtId="169" fontId="36" fillId="24" borderId="23" xfId="36" applyNumberFormat="1" applyFont="1" applyFill="1" applyBorder="1" applyAlignment="1" applyProtection="1">
      <alignment horizontal="left"/>
    </xf>
    <xf numFmtId="173" fontId="41" fillId="24" borderId="23" xfId="36" applyNumberFormat="1" applyFont="1" applyFill="1" applyBorder="1" applyProtection="1"/>
    <xf numFmtId="0" fontId="36" fillId="24" borderId="23" xfId="36" applyFont="1" applyFill="1" applyBorder="1" applyAlignment="1"/>
    <xf numFmtId="0" fontId="36" fillId="24" borderId="23" xfId="36" applyFont="1" applyFill="1" applyBorder="1" applyAlignment="1">
      <alignment horizontal="left"/>
    </xf>
    <xf numFmtId="177" fontId="43" fillId="24" borderId="23" xfId="36" applyNumberFormat="1" applyFont="1" applyFill="1" applyBorder="1"/>
    <xf numFmtId="0" fontId="36" fillId="24" borderId="23" xfId="36" applyFont="1" applyFill="1" applyBorder="1" applyAlignment="1">
      <alignment vertical="justify"/>
    </xf>
    <xf numFmtId="175" fontId="36" fillId="24" borderId="23" xfId="36" applyNumberFormat="1" applyFont="1" applyFill="1" applyBorder="1"/>
    <xf numFmtId="0" fontId="36" fillId="0" borderId="0" xfId="36" applyFont="1"/>
    <xf numFmtId="0" fontId="36" fillId="0" borderId="0" xfId="36" applyFont="1" applyAlignment="1">
      <alignment horizontal="center"/>
    </xf>
    <xf numFmtId="4" fontId="36" fillId="24" borderId="0" xfId="36" applyNumberFormat="1" applyFont="1" applyFill="1"/>
    <xf numFmtId="0" fontId="36" fillId="0" borderId="23" xfId="36" applyFont="1" applyBorder="1"/>
    <xf numFmtId="4" fontId="36" fillId="24" borderId="23" xfId="36" applyNumberFormat="1" applyFont="1" applyFill="1" applyBorder="1"/>
    <xf numFmtId="4" fontId="36" fillId="24" borderId="23" xfId="36" applyNumberFormat="1" applyFont="1" applyFill="1" applyBorder="1" applyAlignment="1">
      <alignment vertical="center"/>
    </xf>
    <xf numFmtId="4" fontId="36" fillId="24" borderId="32" xfId="36" applyNumberFormat="1" applyFont="1" applyFill="1" applyBorder="1"/>
    <xf numFmtId="43" fontId="36" fillId="24" borderId="19" xfId="123" applyFont="1" applyFill="1" applyBorder="1" applyProtection="1"/>
    <xf numFmtId="43" fontId="36" fillId="26" borderId="5" xfId="123" applyFont="1" applyFill="1" applyBorder="1"/>
    <xf numFmtId="43" fontId="36" fillId="24" borderId="0" xfId="123" applyFont="1" applyFill="1" applyBorder="1" applyProtection="1"/>
    <xf numFmtId="43" fontId="36" fillId="24" borderId="0" xfId="123" applyFont="1" applyFill="1" applyBorder="1"/>
    <xf numFmtId="43" fontId="36" fillId="24" borderId="0" xfId="123" quotePrefix="1" applyFont="1" applyFill="1" applyBorder="1" applyAlignment="1">
      <alignment horizontal="left"/>
    </xf>
    <xf numFmtId="43" fontId="36" fillId="24" borderId="0" xfId="123" applyFont="1" applyFill="1" applyBorder="1" applyAlignment="1" applyProtection="1">
      <alignment horizontal="right"/>
    </xf>
    <xf numFmtId="43" fontId="36" fillId="24" borderId="6" xfId="123" applyFont="1" applyFill="1" applyBorder="1" applyAlignment="1" applyProtection="1">
      <alignment horizontal="right"/>
    </xf>
    <xf numFmtId="43" fontId="36" fillId="24" borderId="0" xfId="123" applyFont="1" applyFill="1" applyBorder="1" applyAlignment="1">
      <alignment horizontal="left"/>
    </xf>
    <xf numFmtId="43" fontId="36" fillId="24" borderId="31" xfId="123" applyFont="1" applyFill="1" applyBorder="1" applyProtection="1"/>
    <xf numFmtId="43" fontId="36" fillId="24" borderId="31" xfId="123" applyFont="1" applyFill="1" applyBorder="1"/>
    <xf numFmtId="43" fontId="36" fillId="24" borderId="0" xfId="123" applyFont="1" applyFill="1" applyBorder="1" applyAlignment="1" applyProtection="1">
      <alignment horizontal="center"/>
    </xf>
    <xf numFmtId="0" fontId="37" fillId="28" borderId="23" xfId="36" applyFont="1" applyFill="1" applyBorder="1" applyAlignment="1">
      <alignment horizontal="left" vertical="center"/>
    </xf>
    <xf numFmtId="0" fontId="37" fillId="28" borderId="15" xfId="36" applyFont="1" applyFill="1" applyBorder="1" applyAlignment="1">
      <alignment horizontal="left" vertical="center"/>
    </xf>
    <xf numFmtId="0" fontId="37" fillId="28" borderId="33" xfId="36" applyFont="1" applyFill="1" applyBorder="1" applyAlignment="1">
      <alignment vertical="justify"/>
    </xf>
    <xf numFmtId="4" fontId="47" fillId="28" borderId="20" xfId="36" applyNumberFormat="1" applyFont="1" applyFill="1" applyBorder="1" applyAlignment="1" applyProtection="1">
      <alignment horizontal="center"/>
    </xf>
    <xf numFmtId="0" fontId="49" fillId="27" borderId="16" xfId="0" applyFont="1" applyFill="1" applyBorder="1" applyAlignment="1">
      <alignment vertical="center"/>
    </xf>
    <xf numFmtId="0" fontId="49" fillId="27" borderId="18" xfId="0" applyFont="1" applyFill="1" applyBorder="1" applyAlignment="1">
      <alignment vertical="center"/>
    </xf>
    <xf numFmtId="0" fontId="43" fillId="24" borderId="32" xfId="38" applyFont="1" applyFill="1" applyBorder="1" applyAlignment="1">
      <alignment horizontal="center"/>
    </xf>
    <xf numFmtId="0" fontId="37" fillId="28" borderId="15" xfId="36" applyFont="1" applyFill="1" applyBorder="1" applyAlignment="1">
      <alignment vertical="justify"/>
    </xf>
    <xf numFmtId="4" fontId="47" fillId="28" borderId="38" xfId="36" applyNumberFormat="1" applyFont="1" applyFill="1" applyBorder="1" applyAlignment="1" applyProtection="1">
      <alignment horizontal="center"/>
    </xf>
    <xf numFmtId="175" fontId="47" fillId="28" borderId="39" xfId="36" applyNumberFormat="1" applyFont="1" applyFill="1" applyBorder="1" applyAlignment="1" applyProtection="1">
      <alignment horizontal="center"/>
    </xf>
    <xf numFmtId="177" fontId="43" fillId="24" borderId="32" xfId="36" applyNumberFormat="1" applyFont="1" applyFill="1" applyBorder="1"/>
    <xf numFmtId="4" fontId="47" fillId="28" borderId="17" xfId="36" applyNumberFormat="1" applyFont="1" applyFill="1" applyBorder="1" applyAlignment="1" applyProtection="1">
      <alignment horizontal="center"/>
    </xf>
    <xf numFmtId="4" fontId="47" fillId="28" borderId="40" xfId="36" applyNumberFormat="1" applyFont="1" applyFill="1" applyBorder="1" applyAlignment="1" applyProtection="1">
      <alignment horizontal="center"/>
    </xf>
    <xf numFmtId="0" fontId="36" fillId="0" borderId="0" xfId="36" applyFont="1" applyBorder="1"/>
    <xf numFmtId="0" fontId="36" fillId="24" borderId="32" xfId="36" applyFont="1" applyFill="1" applyBorder="1" applyAlignment="1">
      <alignment horizontal="center"/>
    </xf>
    <xf numFmtId="0" fontId="0" fillId="0" borderId="0" xfId="0" applyAlignment="1"/>
    <xf numFmtId="4" fontId="50" fillId="28" borderId="17" xfId="36" applyNumberFormat="1" applyFont="1" applyFill="1" applyBorder="1" applyAlignment="1" applyProtection="1">
      <alignment horizontal="center" vertical="justify"/>
    </xf>
    <xf numFmtId="43" fontId="36" fillId="24" borderId="0" xfId="18" applyFont="1" applyFill="1" applyBorder="1" applyAlignment="1">
      <alignment vertical="center"/>
    </xf>
    <xf numFmtId="177" fontId="43" fillId="0" borderId="25" xfId="36" applyNumberFormat="1" applyFont="1" applyBorder="1"/>
    <xf numFmtId="173" fontId="41" fillId="24" borderId="25" xfId="36" applyNumberFormat="1" applyFont="1" applyFill="1" applyBorder="1" applyProtection="1"/>
    <xf numFmtId="0" fontId="43" fillId="24" borderId="25" xfId="38" applyFont="1" applyFill="1" applyBorder="1" applyAlignment="1">
      <alignment horizontal="center"/>
    </xf>
    <xf numFmtId="43" fontId="36" fillId="24" borderId="25" xfId="28" applyFont="1" applyFill="1" applyBorder="1" applyAlignment="1">
      <alignment horizontal="right"/>
    </xf>
    <xf numFmtId="0" fontId="37" fillId="28" borderId="15" xfId="36" applyFont="1" applyFill="1" applyBorder="1" applyAlignment="1">
      <alignment vertical="center"/>
    </xf>
    <xf numFmtId="0" fontId="30" fillId="25" borderId="0" xfId="36" applyFont="1" applyFill="1" applyBorder="1"/>
    <xf numFmtId="0" fontId="51" fillId="28" borderId="15" xfId="36" applyFont="1" applyFill="1" applyBorder="1" applyAlignment="1">
      <alignment vertical="justify"/>
    </xf>
    <xf numFmtId="0" fontId="36" fillId="24" borderId="0" xfId="36" applyFont="1" applyFill="1" applyAlignment="1">
      <alignment horizontal="left" vertical="justify"/>
    </xf>
    <xf numFmtId="175" fontId="47" fillId="28" borderId="39" xfId="36" applyNumberFormat="1" applyFont="1" applyFill="1" applyBorder="1" applyAlignment="1" applyProtection="1">
      <alignment horizontal="center" vertical="justify"/>
    </xf>
    <xf numFmtId="175" fontId="36" fillId="24" borderId="0" xfId="110" applyNumberFormat="1" applyFont="1" applyFill="1" applyAlignment="1">
      <alignment horizontal="right"/>
    </xf>
    <xf numFmtId="177" fontId="36" fillId="0" borderId="23" xfId="36" applyNumberFormat="1" applyFont="1" applyBorder="1"/>
    <xf numFmtId="0" fontId="8" fillId="0" borderId="0" xfId="148" applyFont="1"/>
    <xf numFmtId="0" fontId="5" fillId="0" borderId="0" xfId="148" applyFont="1" applyFill="1"/>
    <xf numFmtId="0" fontId="5" fillId="0" borderId="0" xfId="148" applyFont="1" applyFill="1" applyAlignment="1">
      <alignment vertical="center"/>
    </xf>
    <xf numFmtId="172" fontId="35" fillId="0" borderId="0" xfId="148" applyNumberFormat="1" applyFont="1" applyProtection="1"/>
    <xf numFmtId="0" fontId="8" fillId="0" borderId="0" xfId="148" applyFont="1" applyFill="1"/>
    <xf numFmtId="172" fontId="35" fillId="0" borderId="0" xfId="148" applyNumberFormat="1" applyFont="1" applyFill="1" applyProtection="1"/>
    <xf numFmtId="0" fontId="5" fillId="0" borderId="0" xfId="148" applyFont="1" applyFill="1" applyBorder="1" applyAlignment="1">
      <alignment vertical="center"/>
    </xf>
    <xf numFmtId="4" fontId="8" fillId="0" borderId="0" xfId="148" applyNumberFormat="1" applyFont="1" applyFill="1" applyBorder="1"/>
    <xf numFmtId="4" fontId="6" fillId="0" borderId="0" xfId="148" applyNumberFormat="1" applyFont="1" applyFill="1" applyAlignment="1" applyProtection="1">
      <alignment horizontal="center" vertical="center"/>
    </xf>
    <xf numFmtId="4" fontId="5" fillId="0" borderId="0" xfId="148" applyNumberFormat="1" applyFont="1" applyFill="1" applyAlignment="1">
      <alignment horizontal="center" vertical="center"/>
    </xf>
    <xf numFmtId="39" fontId="6" fillId="0" borderId="0" xfId="148" applyNumberFormat="1" applyFont="1" applyFill="1" applyAlignment="1" applyProtection="1">
      <alignment horizontal="center" vertical="center"/>
    </xf>
    <xf numFmtId="173" fontId="6" fillId="0" borderId="0" xfId="148" applyNumberFormat="1" applyFont="1" applyFill="1" applyAlignment="1" applyProtection="1">
      <alignment horizontal="center" vertical="center"/>
    </xf>
    <xf numFmtId="172" fontId="5" fillId="0" borderId="0" xfId="148" applyNumberFormat="1" applyFont="1" applyFill="1" applyAlignment="1" applyProtection="1">
      <alignment horizontal="center" vertical="center"/>
    </xf>
    <xf numFmtId="172" fontId="5" fillId="0" borderId="0" xfId="148" applyNumberFormat="1" applyFont="1" applyFill="1" applyAlignment="1" applyProtection="1">
      <alignment vertical="center"/>
    </xf>
    <xf numFmtId="0" fontId="5" fillId="0" borderId="0" xfId="148" applyFont="1" applyFill="1" applyAlignment="1">
      <alignment horizontal="center" vertical="center"/>
    </xf>
    <xf numFmtId="4" fontId="6" fillId="0" borderId="0" xfId="148" applyNumberFormat="1" applyFont="1" applyFill="1" applyAlignment="1">
      <alignment horizontal="center" vertical="center"/>
    </xf>
    <xf numFmtId="4" fontId="6" fillId="0" borderId="0" xfId="149" applyNumberFormat="1" applyFont="1" applyFill="1" applyAlignment="1">
      <alignment horizontal="center" vertical="center"/>
    </xf>
    <xf numFmtId="0" fontId="5" fillId="0" borderId="0" xfId="149" applyFont="1" applyFill="1" applyAlignment="1">
      <alignment horizontal="center" vertical="center"/>
    </xf>
    <xf numFmtId="0" fontId="5" fillId="0" borderId="0" xfId="149" applyFont="1" applyFill="1" applyAlignment="1">
      <alignment vertical="center"/>
    </xf>
    <xf numFmtId="4" fontId="6" fillId="0" borderId="0" xfId="148" applyNumberFormat="1" applyFont="1" applyFill="1" applyBorder="1" applyAlignment="1">
      <alignment horizontal="center" vertical="center"/>
    </xf>
    <xf numFmtId="0" fontId="5" fillId="0" borderId="0" xfId="148" applyFont="1" applyFill="1" applyBorder="1" applyAlignment="1">
      <alignment horizontal="center" vertical="center"/>
    </xf>
    <xf numFmtId="0" fontId="5" fillId="0" borderId="0" xfId="148" applyFont="1"/>
    <xf numFmtId="0" fontId="5" fillId="0" borderId="0" xfId="148" applyFont="1" applyAlignment="1">
      <alignment vertical="center"/>
    </xf>
    <xf numFmtId="0" fontId="1" fillId="0" borderId="0" xfId="373"/>
    <xf numFmtId="43" fontId="36" fillId="24" borderId="23" xfId="28" applyFont="1" applyFill="1" applyBorder="1" applyAlignment="1">
      <alignment horizontal="center"/>
    </xf>
    <xf numFmtId="0" fontId="37" fillId="28" borderId="16" xfId="36" applyFont="1" applyFill="1" applyBorder="1" applyAlignment="1">
      <alignment vertical="center"/>
    </xf>
    <xf numFmtId="177" fontId="36" fillId="24" borderId="23" xfId="36" applyNumberFormat="1" applyFont="1" applyFill="1" applyBorder="1"/>
    <xf numFmtId="0" fontId="37" fillId="28" borderId="24" xfId="36" applyFont="1" applyFill="1" applyBorder="1" applyAlignment="1">
      <alignment horizontal="left" vertical="center"/>
    </xf>
    <xf numFmtId="4" fontId="47" fillId="28" borderId="16" xfId="36" applyNumberFormat="1" applyFont="1" applyFill="1" applyBorder="1" applyAlignment="1" applyProtection="1">
      <alignment horizontal="center"/>
    </xf>
    <xf numFmtId="4" fontId="47" fillId="28" borderId="18" xfId="36" applyNumberFormat="1" applyFont="1" applyFill="1" applyBorder="1" applyAlignment="1" applyProtection="1">
      <alignment horizontal="center"/>
    </xf>
    <xf numFmtId="4" fontId="36" fillId="24" borderId="0" xfId="36" applyNumberFormat="1" applyFont="1" applyFill="1" applyBorder="1"/>
    <xf numFmtId="0" fontId="36" fillId="24" borderId="32" xfId="36" applyFont="1" applyFill="1" applyBorder="1"/>
    <xf numFmtId="4" fontId="36" fillId="24" borderId="23" xfId="36" applyNumberFormat="1" applyFont="1" applyFill="1" applyBorder="1" applyAlignment="1">
      <alignment vertical="justify"/>
    </xf>
    <xf numFmtId="0" fontId="5" fillId="0" borderId="0" xfId="352"/>
    <xf numFmtId="0" fontId="6" fillId="0" borderId="0" xfId="352" applyFont="1"/>
    <xf numFmtId="2" fontId="6" fillId="29" borderId="0" xfId="352" applyNumberFormat="1" applyFont="1" applyFill="1"/>
    <xf numFmtId="0" fontId="37" fillId="28" borderId="35" xfId="36" applyFont="1" applyFill="1" applyBorder="1" applyAlignment="1">
      <alignment horizontal="left" vertical="center"/>
    </xf>
    <xf numFmtId="0" fontId="37" fillId="28" borderId="36" xfId="36" applyFont="1" applyFill="1" applyBorder="1" applyAlignment="1">
      <alignment horizontal="left" vertical="center"/>
    </xf>
    <xf numFmtId="0" fontId="37" fillId="0" borderId="24" xfId="352" applyFont="1" applyBorder="1"/>
    <xf numFmtId="0" fontId="36" fillId="0" borderId="23" xfId="352" applyFont="1" applyBorder="1" applyAlignment="1">
      <alignment horizontal="center"/>
    </xf>
    <xf numFmtId="40" fontId="36" fillId="0" borderId="23" xfId="352" applyNumberFormat="1" applyFont="1" applyBorder="1"/>
    <xf numFmtId="0" fontId="36" fillId="0" borderId="24" xfId="352" applyFont="1" applyBorder="1"/>
    <xf numFmtId="0" fontId="36" fillId="0" borderId="50" xfId="352" applyFont="1" applyBorder="1"/>
    <xf numFmtId="0" fontId="36" fillId="0" borderId="49" xfId="352" applyFont="1" applyBorder="1"/>
    <xf numFmtId="40" fontId="36" fillId="0" borderId="49" xfId="352" applyNumberFormat="1" applyFont="1" applyBorder="1"/>
    <xf numFmtId="0" fontId="36" fillId="0" borderId="48" xfId="352" applyFont="1" applyBorder="1"/>
    <xf numFmtId="40" fontId="36" fillId="0" borderId="23" xfId="352" applyNumberFormat="1" applyFont="1" applyFill="1" applyBorder="1" applyAlignment="1">
      <alignment horizontal="right"/>
    </xf>
    <xf numFmtId="40" fontId="36" fillId="0" borderId="23" xfId="352" applyNumberFormat="1" applyFont="1" applyFill="1" applyBorder="1"/>
    <xf numFmtId="40" fontId="36" fillId="0" borderId="23" xfId="352" applyNumberFormat="1" applyFont="1" applyBorder="1" applyAlignment="1">
      <alignment horizontal="right"/>
    </xf>
    <xf numFmtId="0" fontId="36" fillId="0" borderId="23" xfId="352" applyFont="1" applyBorder="1"/>
    <xf numFmtId="0" fontId="36" fillId="0" borderId="53" xfId="352" applyFont="1" applyBorder="1"/>
    <xf numFmtId="0" fontId="36" fillId="0" borderId="53" xfId="352" applyFont="1" applyBorder="1" applyAlignment="1">
      <alignment horizontal="center"/>
    </xf>
    <xf numFmtId="40" fontId="36" fillId="0" borderId="53" xfId="352" applyNumberFormat="1" applyFont="1" applyBorder="1"/>
    <xf numFmtId="0" fontId="36" fillId="0" borderId="23" xfId="352" applyFont="1" applyFill="1" applyBorder="1" applyAlignment="1">
      <alignment horizontal="center"/>
    </xf>
    <xf numFmtId="0" fontId="36" fillId="0" borderId="52" xfId="352" applyFont="1" applyBorder="1"/>
    <xf numFmtId="0" fontId="36" fillId="0" borderId="26" xfId="352" applyFont="1" applyBorder="1"/>
    <xf numFmtId="0" fontId="36" fillId="0" borderId="51" xfId="352" applyFont="1" applyBorder="1"/>
    <xf numFmtId="0" fontId="36" fillId="0" borderId="5" xfId="352" applyFont="1" applyBorder="1"/>
    <xf numFmtId="0" fontId="36" fillId="0" borderId="19" xfId="352" applyFont="1" applyBorder="1" applyAlignment="1">
      <alignment horizontal="center"/>
    </xf>
    <xf numFmtId="40" fontId="36" fillId="0" borderId="19" xfId="352" applyNumberFormat="1" applyFont="1" applyBorder="1"/>
    <xf numFmtId="40" fontId="36" fillId="0" borderId="25" xfId="352" applyNumberFormat="1" applyFont="1" applyBorder="1"/>
    <xf numFmtId="0" fontId="36" fillId="0" borderId="32" xfId="352" applyFont="1" applyBorder="1" applyAlignment="1">
      <alignment horizontal="center"/>
    </xf>
    <xf numFmtId="40" fontId="36" fillId="0" borderId="32" xfId="352" applyNumberFormat="1" applyFont="1" applyBorder="1"/>
    <xf numFmtId="0" fontId="36" fillId="0" borderId="49" xfId="352" applyFont="1" applyBorder="1" applyAlignment="1">
      <alignment horizontal="center"/>
    </xf>
    <xf numFmtId="40" fontId="36" fillId="0" borderId="48" xfId="352" applyNumberFormat="1" applyFont="1" applyBorder="1"/>
    <xf numFmtId="0" fontId="36" fillId="0" borderId="54" xfId="352" applyFont="1" applyBorder="1" applyAlignment="1">
      <alignment horizontal="center"/>
    </xf>
    <xf numFmtId="0" fontId="44" fillId="28" borderId="55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vertical="center"/>
    </xf>
    <xf numFmtId="0" fontId="49" fillId="27" borderId="17" xfId="0" applyFont="1" applyFill="1" applyBorder="1" applyAlignment="1">
      <alignment vertical="justify"/>
    </xf>
    <xf numFmtId="175" fontId="36" fillId="0" borderId="24" xfId="352" applyNumberFormat="1" applyFont="1" applyBorder="1"/>
    <xf numFmtId="175" fontId="37" fillId="28" borderId="55" xfId="0" applyNumberFormat="1" applyFont="1" applyFill="1" applyBorder="1" applyAlignment="1">
      <alignment horizontal="center" vertical="center" wrapText="1"/>
    </xf>
    <xf numFmtId="175" fontId="5" fillId="0" borderId="0" xfId="352" applyNumberFormat="1"/>
    <xf numFmtId="0" fontId="36" fillId="0" borderId="26" xfId="352" applyFont="1" applyBorder="1" applyAlignment="1">
      <alignment horizontal="center"/>
    </xf>
    <xf numFmtId="0" fontId="45" fillId="0" borderId="56" xfId="36" applyFont="1" applyBorder="1"/>
    <xf numFmtId="0" fontId="36" fillId="0" borderId="0" xfId="352" applyFont="1" applyBorder="1"/>
    <xf numFmtId="0" fontId="36" fillId="0" borderId="34" xfId="352" applyFont="1" applyBorder="1"/>
    <xf numFmtId="0" fontId="36" fillId="0" borderId="11" xfId="352" applyFont="1" applyBorder="1"/>
    <xf numFmtId="0" fontId="36" fillId="0" borderId="12" xfId="352" applyFont="1" applyBorder="1"/>
    <xf numFmtId="0" fontId="37" fillId="0" borderId="12" xfId="352" applyFont="1" applyBorder="1"/>
    <xf numFmtId="0" fontId="36" fillId="0" borderId="9" xfId="352" applyFont="1" applyBorder="1"/>
    <xf numFmtId="43" fontId="36" fillId="24" borderId="32" xfId="28" applyFont="1" applyFill="1" applyBorder="1" applyAlignment="1">
      <alignment horizontal="right"/>
    </xf>
    <xf numFmtId="177" fontId="43" fillId="24" borderId="0" xfId="36" applyNumberFormat="1" applyFont="1" applyFill="1" applyBorder="1"/>
    <xf numFmtId="0" fontId="8" fillId="24" borderId="0" xfId="148" applyFont="1" applyFill="1"/>
    <xf numFmtId="0" fontId="0" fillId="0" borderId="0" xfId="0" applyBorder="1"/>
    <xf numFmtId="0" fontId="44" fillId="28" borderId="33" xfId="36" applyFont="1" applyFill="1" applyBorder="1" applyAlignment="1">
      <alignment vertical="justify"/>
    </xf>
    <xf numFmtId="0" fontId="70" fillId="24" borderId="11" xfId="0" applyFont="1" applyFill="1" applyBorder="1"/>
    <xf numFmtId="0" fontId="71" fillId="0" borderId="0" xfId="119" applyFont="1" applyAlignment="1">
      <alignment vertical="center"/>
    </xf>
    <xf numFmtId="0" fontId="72" fillId="0" borderId="0" xfId="119" applyFont="1" applyAlignment="1">
      <alignment vertical="center"/>
    </xf>
    <xf numFmtId="0" fontId="73" fillId="0" borderId="0" xfId="119" applyFont="1" applyAlignment="1">
      <alignment vertical="center"/>
    </xf>
    <xf numFmtId="0" fontId="74" fillId="0" borderId="0" xfId="119" applyFont="1" applyAlignment="1">
      <alignment vertical="top"/>
    </xf>
    <xf numFmtId="0" fontId="75" fillId="0" borderId="0" xfId="119" applyFont="1" applyAlignment="1">
      <alignment vertical="center"/>
    </xf>
    <xf numFmtId="0" fontId="43" fillId="0" borderId="0" xfId="119" applyFont="1" applyAlignment="1">
      <alignment vertical="center"/>
    </xf>
    <xf numFmtId="0" fontId="43" fillId="0" borderId="0" xfId="119" applyFont="1" applyAlignment="1">
      <alignment horizontal="center" vertical="center"/>
    </xf>
    <xf numFmtId="0" fontId="43" fillId="0" borderId="0" xfId="119" applyFont="1" applyAlignment="1">
      <alignment horizontal="right" vertical="center"/>
    </xf>
    <xf numFmtId="0" fontId="43" fillId="0" borderId="0" xfId="119" quotePrefix="1" applyFont="1" applyAlignment="1">
      <alignment horizontal="right" vertical="center"/>
    </xf>
    <xf numFmtId="194" fontId="43" fillId="24" borderId="0" xfId="119" quotePrefix="1" applyNumberFormat="1" applyFont="1" applyFill="1" applyAlignment="1">
      <alignment horizontal="left" vertical="center"/>
    </xf>
    <xf numFmtId="0" fontId="37" fillId="28" borderId="15" xfId="36" applyFont="1" applyFill="1" applyBorder="1" applyAlignment="1">
      <alignment horizontal="center" vertical="center"/>
    </xf>
    <xf numFmtId="0" fontId="37" fillId="24" borderId="17" xfId="36" applyFont="1" applyFill="1" applyBorder="1" applyAlignment="1">
      <alignment vertical="center"/>
    </xf>
    <xf numFmtId="0" fontId="37" fillId="24" borderId="18" xfId="36" applyFont="1" applyFill="1" applyBorder="1" applyAlignment="1">
      <alignment vertical="center"/>
    </xf>
    <xf numFmtId="0" fontId="70" fillId="24" borderId="17" xfId="0" applyFont="1" applyFill="1" applyBorder="1"/>
    <xf numFmtId="0" fontId="5" fillId="0" borderId="13" xfId="352" applyBorder="1"/>
    <xf numFmtId="0" fontId="5" fillId="0" borderId="14" xfId="352" applyBorder="1"/>
    <xf numFmtId="0" fontId="5" fillId="0" borderId="8" xfId="352" applyBorder="1"/>
    <xf numFmtId="0" fontId="43" fillId="0" borderId="57" xfId="119" applyFont="1" applyBorder="1" applyAlignment="1">
      <alignment vertical="center"/>
    </xf>
    <xf numFmtId="0" fontId="43" fillId="0" borderId="58" xfId="119" applyFont="1" applyBorder="1" applyAlignment="1">
      <alignment horizontal="center" vertical="center"/>
    </xf>
    <xf numFmtId="0" fontId="43" fillId="0" borderId="59" xfId="119" applyFont="1" applyBorder="1" applyAlignment="1">
      <alignment horizontal="center" vertical="center"/>
    </xf>
    <xf numFmtId="0" fontId="43" fillId="0" borderId="60" xfId="119" applyFont="1" applyBorder="1" applyAlignment="1">
      <alignment vertical="center"/>
    </xf>
    <xf numFmtId="0" fontId="43" fillId="0" borderId="0" xfId="119" applyFont="1" applyBorder="1" applyAlignment="1">
      <alignment horizontal="center" vertical="center"/>
    </xf>
    <xf numFmtId="0" fontId="43" fillId="0" borderId="61" xfId="119" applyFont="1" applyBorder="1" applyAlignment="1">
      <alignment horizontal="center" vertical="center"/>
    </xf>
    <xf numFmtId="0" fontId="76" fillId="0" borderId="0" xfId="119" applyFont="1" applyBorder="1" applyAlignment="1">
      <alignment horizontal="center" vertical="center"/>
    </xf>
    <xf numFmtId="0" fontId="77" fillId="0" borderId="0" xfId="119" applyFont="1" applyBorder="1" applyAlignment="1">
      <alignment horizontal="center" vertical="center"/>
    </xf>
    <xf numFmtId="49" fontId="78" fillId="0" borderId="0" xfId="119" applyNumberFormat="1" applyFont="1" applyBorder="1" applyAlignment="1">
      <alignment horizontal="center" vertical="center"/>
    </xf>
    <xf numFmtId="193" fontId="69" fillId="0" borderId="0" xfId="119" applyNumberFormat="1" applyFont="1" applyBorder="1" applyAlignment="1">
      <alignment horizontal="center" vertical="center"/>
    </xf>
    <xf numFmtId="193" fontId="43" fillId="0" borderId="0" xfId="119" applyNumberFormat="1" applyFont="1" applyBorder="1" applyAlignment="1">
      <alignment horizontal="center" vertical="center"/>
    </xf>
    <xf numFmtId="193" fontId="43" fillId="0" borderId="0" xfId="119" quotePrefix="1" applyNumberFormat="1" applyFont="1" applyBorder="1" applyAlignment="1">
      <alignment horizontal="center" vertical="center"/>
    </xf>
    <xf numFmtId="193" fontId="43" fillId="0" borderId="0" xfId="119" applyNumberFormat="1" applyFont="1" applyBorder="1" applyAlignment="1">
      <alignment horizontal="center" vertical="top"/>
    </xf>
    <xf numFmtId="193" fontId="82" fillId="0" borderId="0" xfId="119" applyNumberFormat="1" applyFont="1" applyBorder="1" applyAlignment="1">
      <alignment horizontal="center" vertical="center"/>
    </xf>
    <xf numFmtId="0" fontId="43" fillId="0" borderId="52" xfId="119" quotePrefix="1" applyFont="1" applyBorder="1" applyAlignment="1">
      <alignment horizontal="right" vertical="center"/>
    </xf>
    <xf numFmtId="0" fontId="43" fillId="0" borderId="64" xfId="119" applyFont="1" applyBorder="1" applyAlignment="1">
      <alignment horizontal="center" vertical="center"/>
    </xf>
    <xf numFmtId="194" fontId="43" fillId="24" borderId="65" xfId="119" quotePrefix="1" applyNumberFormat="1" applyFont="1" applyFill="1" applyBorder="1" applyAlignment="1">
      <alignment horizontal="left" vertical="center"/>
    </xf>
    <xf numFmtId="0" fontId="76" fillId="0" borderId="13" xfId="119" applyFont="1" applyBorder="1" applyAlignment="1">
      <alignment vertical="center"/>
    </xf>
    <xf numFmtId="0" fontId="77" fillId="0" borderId="14" xfId="119" applyFont="1" applyBorder="1" applyAlignment="1">
      <alignment horizontal="center" vertical="center"/>
    </xf>
    <xf numFmtId="0" fontId="76" fillId="0" borderId="8" xfId="119" applyFont="1" applyBorder="1" applyAlignment="1">
      <alignment horizontal="center" vertical="center"/>
    </xf>
    <xf numFmtId="0" fontId="76" fillId="0" borderId="10" xfId="119" applyFont="1" applyBorder="1" applyAlignment="1">
      <alignment vertical="center"/>
    </xf>
    <xf numFmtId="0" fontId="76" fillId="0" borderId="34" xfId="119" applyFont="1" applyBorder="1" applyAlignment="1">
      <alignment horizontal="center" vertical="center"/>
    </xf>
    <xf numFmtId="0" fontId="43" fillId="0" borderId="10" xfId="119" applyFont="1" applyBorder="1" applyAlignment="1">
      <alignment vertical="center"/>
    </xf>
    <xf numFmtId="0" fontId="43" fillId="0" borderId="34" xfId="119" applyFont="1" applyBorder="1" applyAlignment="1">
      <alignment horizontal="center" vertical="center"/>
    </xf>
    <xf numFmtId="193" fontId="78" fillId="0" borderId="34" xfId="119" applyNumberFormat="1" applyFont="1" applyBorder="1" applyAlignment="1">
      <alignment horizontal="center" vertical="center"/>
    </xf>
    <xf numFmtId="0" fontId="79" fillId="0" borderId="10" xfId="119" applyFont="1" applyBorder="1" applyAlignment="1">
      <alignment vertical="center"/>
    </xf>
    <xf numFmtId="193" fontId="80" fillId="0" borderId="34" xfId="119" applyNumberFormat="1" applyFont="1" applyBorder="1" applyAlignment="1">
      <alignment horizontal="center" vertical="center"/>
    </xf>
    <xf numFmtId="193" fontId="37" fillId="0" borderId="34" xfId="119" applyNumberFormat="1" applyFont="1" applyBorder="1" applyAlignment="1">
      <alignment horizontal="center" vertical="center"/>
    </xf>
    <xf numFmtId="0" fontId="81" fillId="0" borderId="10" xfId="119" applyFont="1" applyBorder="1" applyAlignment="1">
      <alignment vertical="top"/>
    </xf>
    <xf numFmtId="193" fontId="78" fillId="0" borderId="34" xfId="119" applyNumberFormat="1" applyFont="1" applyBorder="1" applyAlignment="1">
      <alignment horizontal="center" vertical="top"/>
    </xf>
    <xf numFmtId="0" fontId="82" fillId="0" borderId="10" xfId="119" applyFont="1" applyBorder="1" applyAlignment="1">
      <alignment vertical="center"/>
    </xf>
    <xf numFmtId="49" fontId="83" fillId="0" borderId="34" xfId="119" applyNumberFormat="1" applyFont="1" applyBorder="1" applyAlignment="1">
      <alignment horizontal="center" vertical="center"/>
    </xf>
    <xf numFmtId="193" fontId="82" fillId="0" borderId="34" xfId="119" applyNumberFormat="1" applyFont="1" applyBorder="1" applyAlignment="1">
      <alignment horizontal="center" vertical="center"/>
    </xf>
    <xf numFmtId="0" fontId="43" fillId="0" borderId="11" xfId="119" applyFont="1" applyBorder="1" applyAlignment="1">
      <alignment horizontal="right" vertical="center"/>
    </xf>
    <xf numFmtId="0" fontId="43" fillId="0" borderId="12" xfId="119" quotePrefix="1" applyFont="1" applyBorder="1" applyAlignment="1">
      <alignment horizontal="center" vertical="center"/>
    </xf>
    <xf numFmtId="194" fontId="43" fillId="0" borderId="9" xfId="119" quotePrefix="1" applyNumberFormat="1" applyFont="1" applyBorder="1" applyAlignment="1">
      <alignment horizontal="left" vertical="center"/>
    </xf>
    <xf numFmtId="0" fontId="43" fillId="24" borderId="16" xfId="0" applyFont="1" applyFill="1" applyBorder="1"/>
    <xf numFmtId="0" fontId="0" fillId="0" borderId="16" xfId="0" applyBorder="1"/>
    <xf numFmtId="0" fontId="0" fillId="0" borderId="18" xfId="0" applyBorder="1"/>
    <xf numFmtId="0" fontId="43" fillId="24" borderId="12" xfId="0" applyFont="1" applyFill="1" applyBorder="1"/>
    <xf numFmtId="0" fontId="0" fillId="0" borderId="12" xfId="0" applyBorder="1"/>
    <xf numFmtId="0" fontId="0" fillId="0" borderId="9" xfId="0" applyBorder="1"/>
    <xf numFmtId="0" fontId="85" fillId="0" borderId="0" xfId="0" applyFont="1" applyFill="1" applyAlignment="1">
      <alignment horizontal="center" vertical="center"/>
    </xf>
    <xf numFmtId="4" fontId="85" fillId="0" borderId="0" xfId="0" applyNumberFormat="1" applyFont="1" applyFill="1" applyAlignment="1">
      <alignment horizontal="right"/>
    </xf>
    <xf numFmtId="4" fontId="86" fillId="0" borderId="0" xfId="0" applyNumberFormat="1" applyFont="1" applyFill="1" applyAlignment="1">
      <alignment horizontal="right"/>
    </xf>
    <xf numFmtId="0" fontId="85" fillId="0" borderId="0" xfId="0" applyFont="1" applyFill="1"/>
    <xf numFmtId="4" fontId="85" fillId="0" borderId="0" xfId="0" applyNumberFormat="1" applyFont="1" applyFill="1" applyAlignment="1">
      <alignment horizontal="center"/>
    </xf>
    <xf numFmtId="0" fontId="85" fillId="0" borderId="0" xfId="0" applyFont="1" applyFill="1" applyAlignment="1">
      <alignment horizontal="left"/>
    </xf>
    <xf numFmtId="49" fontId="86" fillId="0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 wrapText="1"/>
    </xf>
    <xf numFmtId="4" fontId="85" fillId="0" borderId="0" xfId="19" applyNumberFormat="1" applyFont="1" applyFill="1" applyBorder="1" applyAlignment="1"/>
    <xf numFmtId="4" fontId="85" fillId="0" borderId="0" xfId="0" applyNumberFormat="1" applyFont="1" applyFill="1" applyBorder="1" applyAlignment="1">
      <alignment horizontal="center"/>
    </xf>
    <xf numFmtId="4" fontId="85" fillId="0" borderId="0" xfId="19" applyNumberFormat="1" applyFont="1" applyFill="1" applyBorder="1" applyAlignment="1">
      <alignment horizontal="right"/>
    </xf>
    <xf numFmtId="4" fontId="86" fillId="0" borderId="0" xfId="19" applyNumberFormat="1" applyFont="1" applyFill="1" applyBorder="1" applyAlignment="1">
      <alignment horizontal="right"/>
    </xf>
    <xf numFmtId="0" fontId="85" fillId="0" borderId="0" xfId="113" applyFont="1" applyFill="1" applyAlignment="1">
      <alignment horizontal="center"/>
    </xf>
    <xf numFmtId="0" fontId="85" fillId="0" borderId="0" xfId="113" applyFont="1" applyFill="1"/>
    <xf numFmtId="182" fontId="85" fillId="0" borderId="0" xfId="403" applyFont="1" applyFill="1" applyAlignment="1">
      <alignment horizontal="center"/>
    </xf>
    <xf numFmtId="4" fontId="85" fillId="0" borderId="0" xfId="0" applyNumberFormat="1" applyFont="1" applyFill="1" applyAlignment="1"/>
    <xf numFmtId="4" fontId="85" fillId="0" borderId="0" xfId="403" applyNumberFormat="1" applyFont="1" applyFill="1"/>
    <xf numFmtId="4" fontId="86" fillId="0" borderId="0" xfId="403" applyNumberFormat="1" applyFont="1" applyFill="1"/>
    <xf numFmtId="0" fontId="85" fillId="0" borderId="0" xfId="0" applyFont="1"/>
    <xf numFmtId="43" fontId="85" fillId="0" borderId="0" xfId="110" applyFont="1"/>
    <xf numFmtId="0" fontId="85" fillId="0" borderId="0" xfId="0" applyFont="1" applyFill="1" applyAlignment="1">
      <alignment vertical="center" wrapText="1"/>
    </xf>
    <xf numFmtId="0" fontId="87" fillId="0" borderId="0" xfId="0" applyFont="1"/>
    <xf numFmtId="4" fontId="86" fillId="0" borderId="0" xfId="464" applyNumberFormat="1" applyFont="1" applyFill="1" applyBorder="1" applyAlignment="1">
      <alignment horizontal="right"/>
    </xf>
    <xf numFmtId="4" fontId="86" fillId="0" borderId="0" xfId="0" applyNumberFormat="1" applyFont="1" applyFill="1" applyBorder="1" applyAlignment="1">
      <alignment horizontal="right"/>
    </xf>
    <xf numFmtId="0" fontId="86" fillId="0" borderId="0" xfId="0" applyFont="1"/>
    <xf numFmtId="0" fontId="86" fillId="0" borderId="0" xfId="0" applyFont="1" applyFill="1" applyAlignment="1">
      <alignment horizontal="left" vertical="center"/>
    </xf>
    <xf numFmtId="182" fontId="85" fillId="0" borderId="0" xfId="146" applyFont="1" applyFill="1"/>
    <xf numFmtId="0" fontId="85" fillId="0" borderId="0" xfId="0" applyFont="1" applyFill="1" applyBorder="1"/>
    <xf numFmtId="0" fontId="85" fillId="0" borderId="0" xfId="462" applyNumberFormat="1" applyFont="1" applyFill="1"/>
    <xf numFmtId="182" fontId="85" fillId="0" borderId="0" xfId="357" applyFont="1" applyFill="1"/>
    <xf numFmtId="0" fontId="85" fillId="0" borderId="0" xfId="463" applyFont="1" applyFill="1"/>
    <xf numFmtId="0" fontId="88" fillId="0" borderId="0" xfId="0" applyFont="1" applyFill="1" applyAlignment="1">
      <alignment horizontal="center" vertical="center"/>
    </xf>
    <xf numFmtId="2" fontId="89" fillId="0" borderId="0" xfId="0" applyNumberFormat="1" applyFont="1" applyFill="1" applyBorder="1" applyAlignment="1">
      <alignment vertical="center"/>
    </xf>
    <xf numFmtId="4" fontId="88" fillId="0" borderId="0" xfId="0" applyNumberFormat="1" applyFont="1" applyFill="1" applyAlignment="1">
      <alignment horizontal="right"/>
    </xf>
    <xf numFmtId="4" fontId="89" fillId="0" borderId="0" xfId="0" applyNumberFormat="1" applyFont="1" applyFill="1" applyAlignment="1">
      <alignment horizontal="right"/>
    </xf>
    <xf numFmtId="2" fontId="88" fillId="0" borderId="0" xfId="0" applyNumberFormat="1" applyFont="1" applyFill="1" applyBorder="1" applyAlignment="1">
      <alignment vertical="center"/>
    </xf>
    <xf numFmtId="4" fontId="88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vertical="center" wrapText="1"/>
    </xf>
    <xf numFmtId="4" fontId="88" fillId="0" borderId="0" xfId="0" applyNumberFormat="1" applyFont="1" applyFill="1" applyAlignment="1"/>
    <xf numFmtId="4" fontId="89" fillId="0" borderId="0" xfId="326" applyNumberFormat="1" applyFont="1" applyFill="1" applyBorder="1" applyAlignment="1">
      <alignment horizontal="right"/>
    </xf>
    <xf numFmtId="4" fontId="89" fillId="0" borderId="0" xfId="19" applyNumberFormat="1" applyFont="1" applyFill="1" applyAlignment="1">
      <alignment horizontal="right"/>
    </xf>
    <xf numFmtId="0" fontId="88" fillId="0" borderId="0" xfId="0" applyFont="1" applyFill="1" applyAlignment="1">
      <alignment horizontal="left"/>
    </xf>
    <xf numFmtId="4" fontId="89" fillId="0" borderId="0" xfId="326" applyNumberFormat="1" applyFont="1" applyFill="1" applyBorder="1" applyAlignment="1"/>
    <xf numFmtId="4" fontId="89" fillId="0" borderId="0" xfId="326" applyNumberFormat="1" applyFont="1" applyFill="1" applyBorder="1" applyAlignment="1">
      <alignment horizontal="center"/>
    </xf>
    <xf numFmtId="49" fontId="88" fillId="0" borderId="0" xfId="0" applyNumberFormat="1" applyFont="1" applyFill="1" applyAlignment="1">
      <alignment horizontal="center" vertical="center"/>
    </xf>
    <xf numFmtId="4" fontId="88" fillId="0" borderId="0" xfId="19" applyNumberFormat="1" applyFont="1" applyFill="1" applyAlignment="1">
      <alignment horizontal="right"/>
    </xf>
    <xf numFmtId="0" fontId="89" fillId="0" borderId="35" xfId="113" applyFont="1" applyFill="1" applyBorder="1" applyAlignment="1">
      <alignment horizontal="center" vertical="center"/>
    </xf>
    <xf numFmtId="0" fontId="89" fillId="0" borderId="36" xfId="113" applyFont="1" applyFill="1" applyBorder="1" applyAlignment="1">
      <alignment horizontal="center" vertical="center" wrapText="1"/>
    </xf>
    <xf numFmtId="4" fontId="89" fillId="0" borderId="36" xfId="461" applyNumberFormat="1" applyFont="1" applyFill="1" applyBorder="1" applyAlignment="1"/>
    <xf numFmtId="4" fontId="89" fillId="0" borderId="36" xfId="113" applyNumberFormat="1" applyFont="1" applyFill="1" applyBorder="1" applyAlignment="1">
      <alignment horizontal="center"/>
    </xf>
    <xf numFmtId="4" fontId="89" fillId="0" borderId="36" xfId="97" applyNumberFormat="1" applyFont="1" applyFill="1" applyBorder="1" applyAlignment="1">
      <alignment horizontal="right"/>
    </xf>
    <xf numFmtId="4" fontId="89" fillId="0" borderId="37" xfId="19" applyNumberFormat="1" applyFont="1" applyFill="1" applyBorder="1" applyAlignment="1">
      <alignment horizontal="right"/>
    </xf>
    <xf numFmtId="0" fontId="88" fillId="0" borderId="0" xfId="113" applyFont="1" applyFill="1" applyAlignment="1">
      <alignment horizontal="center" vertical="center"/>
    </xf>
    <xf numFmtId="0" fontId="89" fillId="0" borderId="0" xfId="113" applyFont="1" applyFill="1" applyBorder="1" applyAlignment="1">
      <alignment horizontal="center" vertical="center" wrapText="1"/>
    </xf>
    <xf numFmtId="4" fontId="89" fillId="0" borderId="0" xfId="461" applyNumberFormat="1" applyFont="1" applyFill="1" applyBorder="1" applyAlignment="1"/>
    <xf numFmtId="4" fontId="89" fillId="0" borderId="0" xfId="113" applyNumberFormat="1" applyFont="1" applyFill="1" applyBorder="1" applyAlignment="1">
      <alignment horizontal="center"/>
    </xf>
    <xf numFmtId="4" fontId="89" fillId="0" borderId="0" xfId="97" applyNumberFormat="1" applyFont="1" applyFill="1" applyBorder="1" applyAlignment="1">
      <alignment horizontal="right"/>
    </xf>
    <xf numFmtId="4" fontId="89" fillId="0" borderId="0" xfId="19" applyNumberFormat="1" applyFont="1" applyFill="1" applyBorder="1" applyAlignment="1">
      <alignment horizontal="right"/>
    </xf>
    <xf numFmtId="182" fontId="88" fillId="0" borderId="0" xfId="403" applyFont="1" applyFill="1" applyAlignment="1">
      <alignment horizontal="center" vertical="center"/>
    </xf>
    <xf numFmtId="182" fontId="89" fillId="0" borderId="0" xfId="403" applyFont="1" applyFill="1" applyBorder="1" applyAlignment="1">
      <alignment horizontal="justify" vertical="center" wrapText="1"/>
    </xf>
    <xf numFmtId="4" fontId="88" fillId="0" borderId="0" xfId="403" applyNumberFormat="1" applyFont="1" applyFill="1" applyAlignment="1"/>
    <xf numFmtId="4" fontId="88" fillId="0" borderId="0" xfId="403" applyNumberFormat="1" applyFont="1" applyFill="1" applyBorder="1" applyAlignment="1">
      <alignment horizontal="center"/>
    </xf>
    <xf numFmtId="4" fontId="88" fillId="0" borderId="0" xfId="403" applyNumberFormat="1" applyFont="1" applyFill="1" applyBorder="1" applyAlignment="1">
      <alignment horizontal="right"/>
    </xf>
    <xf numFmtId="4" fontId="89" fillId="0" borderId="0" xfId="403" applyNumberFormat="1" applyFont="1" applyFill="1" applyBorder="1" applyAlignment="1">
      <alignment horizontal="right"/>
    </xf>
    <xf numFmtId="182" fontId="88" fillId="0" borderId="0" xfId="403" applyFont="1" applyFill="1" applyBorder="1" applyAlignment="1">
      <alignment horizontal="justify" vertical="center" wrapText="1"/>
    </xf>
    <xf numFmtId="182" fontId="89" fillId="0" borderId="0" xfId="403" applyFont="1" applyFill="1" applyBorder="1" applyAlignment="1">
      <alignment horizontal="center" vertical="center"/>
    </xf>
    <xf numFmtId="182" fontId="88" fillId="0" borderId="0" xfId="403" applyFont="1" applyFill="1" applyAlignment="1">
      <alignment horizontal="center"/>
    </xf>
    <xf numFmtId="182" fontId="88" fillId="0" borderId="0" xfId="403" applyFont="1" applyFill="1" applyAlignment="1">
      <alignment horizontal="left"/>
    </xf>
    <xf numFmtId="43" fontId="88" fillId="0" borderId="0" xfId="110" applyFont="1" applyFill="1" applyBorder="1" applyAlignment="1">
      <alignment horizontal="right"/>
    </xf>
    <xf numFmtId="43" fontId="88" fillId="0" borderId="0" xfId="110" applyFont="1" applyFill="1" applyAlignment="1">
      <alignment horizontal="center"/>
    </xf>
    <xf numFmtId="4" fontId="88" fillId="0" borderId="0" xfId="403" applyNumberFormat="1" applyFont="1" applyFill="1" applyAlignment="1">
      <alignment vertical="center" wrapText="1"/>
    </xf>
    <xf numFmtId="4" fontId="88" fillId="0" borderId="0" xfId="403" applyNumberFormat="1" applyFont="1" applyFill="1" applyAlignment="1">
      <alignment horizontal="center"/>
    </xf>
    <xf numFmtId="4" fontId="88" fillId="0" borderId="0" xfId="403" applyNumberFormat="1" applyFont="1" applyFill="1" applyAlignment="1">
      <alignment horizontal="right"/>
    </xf>
    <xf numFmtId="4" fontId="89" fillId="0" borderId="0" xfId="403" applyNumberFormat="1" applyFont="1" applyFill="1" applyAlignment="1">
      <alignment horizontal="right"/>
    </xf>
    <xf numFmtId="182" fontId="88" fillId="0" borderId="0" xfId="403" applyFont="1" applyFill="1" applyBorder="1" applyAlignment="1">
      <alignment horizontal="center" vertical="center"/>
    </xf>
    <xf numFmtId="182" fontId="88" fillId="0" borderId="0" xfId="403" applyFont="1" applyFill="1" applyAlignment="1">
      <alignment horizontal="left" vertical="center" wrapText="1"/>
    </xf>
    <xf numFmtId="4" fontId="88" fillId="0" borderId="0" xfId="403" applyNumberFormat="1" applyFont="1" applyFill="1"/>
    <xf numFmtId="0" fontId="90" fillId="0" borderId="0" xfId="0" applyFont="1"/>
    <xf numFmtId="182" fontId="88" fillId="0" borderId="0" xfId="403" applyFont="1" applyFill="1" applyAlignment="1">
      <alignment horizontal="center" vertical="center" wrapText="1"/>
    </xf>
    <xf numFmtId="182" fontId="88" fillId="0" borderId="0" xfId="403" applyFont="1" applyFill="1" applyAlignment="1"/>
    <xf numFmtId="0" fontId="88" fillId="0" borderId="0" xfId="0" applyFont="1" applyAlignment="1">
      <alignment vertical="center" wrapText="1"/>
    </xf>
    <xf numFmtId="165" fontId="88" fillId="0" borderId="0" xfId="0" applyNumberFormat="1" applyFont="1" applyFill="1" applyAlignment="1"/>
    <xf numFmtId="0" fontId="88" fillId="0" borderId="0" xfId="0" applyFont="1" applyAlignment="1">
      <alignment horizontal="center"/>
    </xf>
    <xf numFmtId="4" fontId="89" fillId="0" borderId="0" xfId="403" applyNumberFormat="1" applyFont="1" applyFill="1"/>
    <xf numFmtId="0" fontId="89" fillId="0" borderId="0" xfId="0" applyFont="1" applyFill="1" applyAlignment="1">
      <alignment horizontal="center" vertical="center"/>
    </xf>
    <xf numFmtId="4" fontId="89" fillId="0" borderId="0" xfId="403" applyNumberFormat="1" applyFont="1" applyFill="1" applyAlignment="1">
      <alignment vertical="center" wrapText="1"/>
    </xf>
    <xf numFmtId="0" fontId="88" fillId="0" borderId="0" xfId="0" applyFont="1" applyAlignment="1">
      <alignment horizontal="center" vertical="center"/>
    </xf>
    <xf numFmtId="165" fontId="89" fillId="0" borderId="0" xfId="19" applyFont="1" applyFill="1" applyAlignment="1">
      <alignment horizontal="right"/>
    </xf>
    <xf numFmtId="0" fontId="91" fillId="0" borderId="0" xfId="0" applyFont="1" applyAlignment="1">
      <alignment vertical="center"/>
    </xf>
    <xf numFmtId="49" fontId="88" fillId="0" borderId="0" xfId="0" applyNumberFormat="1" applyFont="1" applyFill="1" applyAlignment="1">
      <alignment vertical="center" wrapText="1"/>
    </xf>
    <xf numFmtId="4" fontId="88" fillId="0" borderId="0" xfId="316" applyNumberFormat="1" applyFont="1" applyFill="1" applyAlignment="1">
      <alignment horizontal="right"/>
    </xf>
    <xf numFmtId="4" fontId="89" fillId="0" borderId="17" xfId="403" applyNumberFormat="1" applyFont="1" applyFill="1" applyBorder="1" applyAlignment="1">
      <alignment horizontal="right"/>
    </xf>
    <xf numFmtId="4" fontId="89" fillId="0" borderId="18" xfId="403" applyNumberFormat="1" applyFont="1" applyFill="1" applyBorder="1" applyAlignment="1">
      <alignment horizontal="right"/>
    </xf>
    <xf numFmtId="4" fontId="89" fillId="0" borderId="0" xfId="316" applyNumberFormat="1" applyFont="1" applyFill="1" applyAlignment="1">
      <alignment horizontal="right"/>
    </xf>
    <xf numFmtId="0" fontId="89" fillId="0" borderId="0" xfId="0" applyFont="1" applyFill="1" applyAlignment="1">
      <alignment vertical="center" wrapText="1"/>
    </xf>
    <xf numFmtId="4" fontId="88" fillId="0" borderId="0" xfId="19" applyNumberFormat="1" applyFont="1" applyFill="1" applyAlignment="1"/>
    <xf numFmtId="0" fontId="88" fillId="0" borderId="0" xfId="0" applyFont="1" applyFill="1" applyAlignment="1">
      <alignment horizontal="center"/>
    </xf>
    <xf numFmtId="10" fontId="88" fillId="0" borderId="0" xfId="19" applyNumberFormat="1" applyFont="1" applyFill="1" applyAlignment="1">
      <alignment horizontal="right"/>
    </xf>
    <xf numFmtId="0" fontId="88" fillId="0" borderId="0" xfId="0" applyFont="1" applyFill="1" applyAlignment="1">
      <alignment horizontal="right"/>
    </xf>
    <xf numFmtId="0" fontId="88" fillId="0" borderId="0" xfId="0" applyFont="1" applyFill="1" applyAlignment="1">
      <alignment horizontal="left" vertical="center" wrapText="1"/>
    </xf>
    <xf numFmtId="0" fontId="88" fillId="0" borderId="0" xfId="0" applyFont="1" applyFill="1" applyAlignment="1">
      <alignment horizontal="right" wrapText="1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left" vertical="justify" wrapText="1"/>
    </xf>
    <xf numFmtId="0" fontId="88" fillId="0" borderId="0" xfId="0" applyFont="1"/>
    <xf numFmtId="0" fontId="88" fillId="0" borderId="0" xfId="0" applyFont="1" applyFill="1" applyAlignment="1"/>
    <xf numFmtId="195" fontId="89" fillId="0" borderId="0" xfId="112" applyNumberFormat="1" applyFont="1" applyFill="1" applyAlignment="1">
      <alignment horizontal="center" vertical="center"/>
    </xf>
    <xf numFmtId="182" fontId="89" fillId="0" borderId="0" xfId="403" applyFont="1" applyFill="1" applyAlignment="1">
      <alignment horizontal="center" vertical="center"/>
    </xf>
    <xf numFmtId="0" fontId="91" fillId="0" borderId="0" xfId="0" applyFont="1"/>
    <xf numFmtId="4" fontId="89" fillId="0" borderId="17" xfId="19" applyNumberFormat="1" applyFont="1" applyFill="1" applyBorder="1" applyAlignment="1">
      <alignment horizontal="right"/>
    </xf>
    <xf numFmtId="4" fontId="89" fillId="0" borderId="18" xfId="19" applyNumberFormat="1" applyFont="1" applyFill="1" applyBorder="1" applyAlignment="1">
      <alignment horizontal="right"/>
    </xf>
    <xf numFmtId="4" fontId="89" fillId="0" borderId="0" xfId="403" applyNumberFormat="1" applyFont="1" applyFill="1" applyAlignment="1">
      <alignment horizontal="right" vertical="center" wrapText="1"/>
    </xf>
    <xf numFmtId="4" fontId="89" fillId="0" borderId="0" xfId="403" applyNumberFormat="1" applyFont="1" applyFill="1" applyAlignment="1">
      <alignment wrapText="1"/>
    </xf>
    <xf numFmtId="4" fontId="89" fillId="0" borderId="0" xfId="403" applyNumberFormat="1" applyFont="1" applyFill="1" applyAlignment="1">
      <alignment horizontal="right" wrapText="1"/>
    </xf>
    <xf numFmtId="0" fontId="89" fillId="0" borderId="0" xfId="0" applyFont="1" applyFill="1" applyAlignment="1">
      <alignment horizontal="right" vertical="center"/>
    </xf>
    <xf numFmtId="2" fontId="89" fillId="0" borderId="0" xfId="357" applyNumberFormat="1" applyFont="1" applyFill="1" applyAlignment="1">
      <alignment horizontal="center" vertical="center"/>
    </xf>
    <xf numFmtId="182" fontId="89" fillId="0" borderId="0" xfId="357" applyFont="1" applyFill="1" applyAlignment="1">
      <alignment horizontal="center"/>
    </xf>
    <xf numFmtId="196" fontId="88" fillId="0" borderId="0" xfId="357" applyNumberFormat="1" applyFont="1" applyFill="1" applyAlignment="1">
      <alignment horizontal="center"/>
    </xf>
    <xf numFmtId="196" fontId="89" fillId="0" borderId="0" xfId="108" applyNumberFormat="1" applyFont="1" applyFill="1" applyAlignment="1">
      <alignment horizontal="center"/>
    </xf>
    <xf numFmtId="182" fontId="88" fillId="0" borderId="0" xfId="357" applyFont="1" applyFill="1" applyAlignment="1">
      <alignment horizontal="center"/>
    </xf>
    <xf numFmtId="196" fontId="88" fillId="0" borderId="0" xfId="108" applyNumberFormat="1" applyFont="1" applyFill="1" applyAlignment="1">
      <alignment horizontal="center"/>
    </xf>
    <xf numFmtId="196" fontId="88" fillId="0" borderId="0" xfId="357" applyNumberFormat="1" applyFont="1" applyFill="1" applyAlignment="1">
      <alignment horizontal="right"/>
    </xf>
    <xf numFmtId="196" fontId="88" fillId="0" borderId="0" xfId="108" applyNumberFormat="1" applyFont="1" applyFill="1" applyAlignment="1">
      <alignment horizontal="right"/>
    </xf>
    <xf numFmtId="0" fontId="88" fillId="0" borderId="0" xfId="462" applyNumberFormat="1" applyFont="1" applyFill="1" applyAlignment="1">
      <alignment horizontal="left" vertical="center" wrapText="1"/>
    </xf>
    <xf numFmtId="196" fontId="88" fillId="0" borderId="0" xfId="108" applyNumberFormat="1" applyFont="1" applyFill="1" applyAlignment="1">
      <alignment horizontal="center" vertical="top"/>
    </xf>
    <xf numFmtId="182" fontId="88" fillId="0" borderId="0" xfId="357" applyFont="1" applyFill="1" applyAlignment="1">
      <alignment horizontal="center" vertical="center"/>
    </xf>
    <xf numFmtId="0" fontId="89" fillId="0" borderId="0" xfId="0" applyFont="1" applyFill="1" applyAlignment="1">
      <alignment horizontal="center" vertical="center" wrapText="1"/>
    </xf>
    <xf numFmtId="196" fontId="88" fillId="0" borderId="0" xfId="357" applyNumberFormat="1" applyFont="1" applyFill="1" applyAlignment="1">
      <alignment horizontal="center" vertical="top"/>
    </xf>
    <xf numFmtId="196" fontId="89" fillId="0" borderId="0" xfId="108" applyNumberFormat="1" applyFont="1" applyFill="1" applyAlignment="1">
      <alignment horizontal="right" vertical="top"/>
    </xf>
    <xf numFmtId="196" fontId="89" fillId="0" borderId="0" xfId="108" applyNumberFormat="1" applyFont="1" applyFill="1" applyAlignment="1">
      <alignment horizontal="center" vertical="center"/>
    </xf>
    <xf numFmtId="182" fontId="88" fillId="0" borderId="0" xfId="357" applyFont="1" applyFill="1" applyAlignment="1"/>
    <xf numFmtId="0" fontId="88" fillId="0" borderId="0" xfId="463" applyFont="1" applyFill="1" applyAlignment="1">
      <alignment horizontal="center" vertical="center"/>
    </xf>
    <xf numFmtId="196" fontId="89" fillId="0" borderId="0" xfId="108" applyNumberFormat="1" applyFont="1" applyFill="1" applyAlignment="1"/>
    <xf numFmtId="196" fontId="89" fillId="0" borderId="0" xfId="108" applyNumberFormat="1" applyFont="1" applyFill="1" applyAlignment="1">
      <alignment horizontal="right"/>
    </xf>
    <xf numFmtId="4" fontId="89" fillId="0" borderId="0" xfId="464" applyNumberFormat="1" applyFont="1" applyFill="1" applyBorder="1" applyAlignment="1">
      <alignment horizontal="left" vertical="center"/>
    </xf>
    <xf numFmtId="0" fontId="88" fillId="0" borderId="0" xfId="463" applyFont="1" applyFill="1" applyAlignment="1"/>
    <xf numFmtId="0" fontId="88" fillId="0" borderId="0" xfId="463" applyFont="1" applyFill="1" applyAlignment="1">
      <alignment horizontal="center"/>
    </xf>
    <xf numFmtId="0" fontId="89" fillId="0" borderId="0" xfId="0" applyFont="1" applyFill="1" applyBorder="1" applyAlignment="1">
      <alignment horizontal="left" vertical="center"/>
    </xf>
    <xf numFmtId="4" fontId="89" fillId="0" borderId="0" xfId="464" applyNumberFormat="1" applyFont="1" applyFill="1" applyBorder="1" applyAlignment="1">
      <alignment horizontal="center" vertical="center"/>
    </xf>
    <xf numFmtId="4" fontId="88" fillId="0" borderId="0" xfId="464" applyNumberFormat="1" applyFont="1" applyFill="1" applyBorder="1" applyAlignment="1">
      <alignment horizontal="center"/>
    </xf>
    <xf numFmtId="4" fontId="88" fillId="0" borderId="0" xfId="464" applyNumberFormat="1" applyFont="1" applyFill="1" applyBorder="1" applyAlignment="1">
      <alignment horizontal="right"/>
    </xf>
    <xf numFmtId="4" fontId="88" fillId="0" borderId="0" xfId="464" applyNumberFormat="1" applyFont="1" applyFill="1" applyBorder="1" applyAlignment="1"/>
    <xf numFmtId="0" fontId="88" fillId="0" borderId="0" xfId="0" applyFont="1" applyFill="1" applyBorder="1" applyAlignment="1">
      <alignment horizontal="center"/>
    </xf>
    <xf numFmtId="4" fontId="88" fillId="0" borderId="0" xfId="0" applyNumberFormat="1" applyFont="1" applyFill="1" applyBorder="1" applyAlignment="1">
      <alignment horizontal="right"/>
    </xf>
    <xf numFmtId="0" fontId="84" fillId="27" borderId="62" xfId="0" applyFont="1" applyFill="1" applyBorder="1" applyAlignment="1">
      <alignment horizontal="center" vertical="center" wrapText="1"/>
    </xf>
    <xf numFmtId="0" fontId="84" fillId="27" borderId="16" xfId="0" applyFont="1" applyFill="1" applyBorder="1" applyAlignment="1">
      <alignment horizontal="center" vertical="center" wrapText="1"/>
    </xf>
    <xf numFmtId="0" fontId="84" fillId="27" borderId="63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left" vertical="center"/>
    </xf>
    <xf numFmtId="0" fontId="49" fillId="27" borderId="16" xfId="0" applyFont="1" applyFill="1" applyBorder="1" applyAlignment="1">
      <alignment horizontal="left" vertical="center"/>
    </xf>
    <xf numFmtId="0" fontId="49" fillId="27" borderId="18" xfId="0" applyFont="1" applyFill="1" applyBorder="1" applyAlignment="1">
      <alignment horizontal="left" vertical="center"/>
    </xf>
    <xf numFmtId="0" fontId="48" fillId="27" borderId="66" xfId="0" applyFont="1" applyFill="1" applyBorder="1" applyAlignment="1">
      <alignment horizontal="center" vertical="center" wrapText="1"/>
    </xf>
    <xf numFmtId="0" fontId="48" fillId="27" borderId="26" xfId="0" applyFont="1" applyFill="1" applyBorder="1" applyAlignment="1">
      <alignment horizontal="center" vertical="center" wrapText="1"/>
    </xf>
    <xf numFmtId="0" fontId="48" fillId="27" borderId="11" xfId="0" applyFont="1" applyFill="1" applyBorder="1" applyAlignment="1">
      <alignment horizontal="center" vertical="center" wrapText="1"/>
    </xf>
    <xf numFmtId="0" fontId="48" fillId="27" borderId="12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48" fillId="27" borderId="6" xfId="0" applyFont="1" applyFill="1" applyBorder="1" applyAlignment="1">
      <alignment horizontal="center" vertical="center" wrapText="1"/>
    </xf>
    <xf numFmtId="0" fontId="48" fillId="27" borderId="34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top" wrapText="1"/>
    </xf>
    <xf numFmtId="0" fontId="67" fillId="27" borderId="0" xfId="0" applyFont="1" applyFill="1" applyBorder="1" applyAlignment="1">
      <alignment horizontal="center" vertical="center" wrapText="1"/>
    </xf>
    <xf numFmtId="43" fontId="37" fillId="24" borderId="24" xfId="123" quotePrefix="1" applyFont="1" applyFill="1" applyBorder="1" applyAlignment="1">
      <alignment horizontal="left" wrapText="1"/>
    </xf>
    <xf numFmtId="0" fontId="36" fillId="24" borderId="7" xfId="0" applyFont="1" applyFill="1" applyBorder="1" applyAlignment="1"/>
    <xf numFmtId="43" fontId="37" fillId="24" borderId="41" xfId="123" quotePrefix="1" applyFont="1" applyFill="1" applyBorder="1" applyAlignment="1">
      <alignment horizontal="left" vertical="justify" wrapText="1"/>
    </xf>
    <xf numFmtId="0" fontId="36" fillId="24" borderId="7" xfId="0" applyFont="1" applyFill="1" applyBorder="1" applyAlignment="1">
      <alignment vertical="justify"/>
    </xf>
    <xf numFmtId="0" fontId="48" fillId="27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49" fontId="89" fillId="0" borderId="0" xfId="0" applyNumberFormat="1" applyFont="1" applyFill="1" applyAlignment="1">
      <alignment horizontal="left" vertical="center"/>
    </xf>
    <xf numFmtId="4" fontId="89" fillId="0" borderId="0" xfId="0" applyNumberFormat="1" applyFont="1" applyFill="1" applyBorder="1" applyAlignment="1">
      <alignment horizontal="left" vertical="center"/>
    </xf>
    <xf numFmtId="0" fontId="89" fillId="0" borderId="0" xfId="0" applyFont="1" applyFill="1" applyAlignment="1">
      <alignment horizontal="center"/>
    </xf>
    <xf numFmtId="0" fontId="88" fillId="0" borderId="0" xfId="121" applyFont="1" applyFill="1" applyAlignment="1">
      <alignment horizontal="left"/>
    </xf>
    <xf numFmtId="4" fontId="89" fillId="0" borderId="0" xfId="403" applyNumberFormat="1" applyFont="1" applyFill="1" applyAlignment="1">
      <alignment horizontal="right" wrapText="1"/>
    </xf>
    <xf numFmtId="4" fontId="88" fillId="0" borderId="0" xfId="403" applyNumberFormat="1" applyFont="1" applyFill="1" applyAlignment="1">
      <alignment horizontal="left" vertical="center" wrapText="1"/>
    </xf>
    <xf numFmtId="0" fontId="88" fillId="0" borderId="0" xfId="0" applyFont="1" applyFill="1" applyAlignment="1">
      <alignment horizontal="left" vertical="center" wrapText="1"/>
    </xf>
    <xf numFmtId="0" fontId="89" fillId="0" borderId="0" xfId="0" applyFont="1" applyFill="1" applyAlignment="1">
      <alignment horizontal="right" vertical="center"/>
    </xf>
    <xf numFmtId="0" fontId="88" fillId="0" borderId="0" xfId="0" applyFont="1" applyFill="1" applyAlignment="1">
      <alignment horizontal="left" vertical="justify" wrapText="1"/>
    </xf>
  </cellXfs>
  <cellStyles count="465">
    <cellStyle name="_x000d__x000a_JournalTemplate=C:\COMFO\CTALK\JOURSTD.TPL_x000d__x000a_LbStateAddress=3 3 0 251 1 89 2 311_x000d__x000a_LbStateJou" xfId="150" xr:uid="{00000000-0005-0000-0000-000000000000}"/>
    <cellStyle name="20% - Accent1" xfId="58" xr:uid="{00000000-0005-0000-0000-000001000000}"/>
    <cellStyle name="20% - Accent2" xfId="59" xr:uid="{00000000-0005-0000-0000-000002000000}"/>
    <cellStyle name="20% - Accent3" xfId="60" xr:uid="{00000000-0005-0000-0000-000003000000}"/>
    <cellStyle name="20% - Accent4" xfId="61" xr:uid="{00000000-0005-0000-0000-000004000000}"/>
    <cellStyle name="20% - Accent5" xfId="62" xr:uid="{00000000-0005-0000-0000-000005000000}"/>
    <cellStyle name="20% - Accent6" xfId="63" xr:uid="{00000000-0005-0000-0000-000006000000}"/>
    <cellStyle name="20% - Énfasis1 2" xfId="151" xr:uid="{00000000-0005-0000-0000-000007000000}"/>
    <cellStyle name="20% - Énfasis1 3" xfId="152" xr:uid="{00000000-0005-0000-0000-000008000000}"/>
    <cellStyle name="20% - Énfasis1 4" xfId="153" xr:uid="{00000000-0005-0000-0000-000009000000}"/>
    <cellStyle name="20% - Énfasis2 2" xfId="154" xr:uid="{00000000-0005-0000-0000-00000A000000}"/>
    <cellStyle name="20% - Énfasis2 3" xfId="155" xr:uid="{00000000-0005-0000-0000-00000B000000}"/>
    <cellStyle name="20% - Énfasis2 4" xfId="156" xr:uid="{00000000-0005-0000-0000-00000C000000}"/>
    <cellStyle name="20% - Énfasis3 2" xfId="157" xr:uid="{00000000-0005-0000-0000-00000D000000}"/>
    <cellStyle name="20% - Énfasis3 3" xfId="158" xr:uid="{00000000-0005-0000-0000-00000E000000}"/>
    <cellStyle name="20% - Énfasis3 4" xfId="159" xr:uid="{00000000-0005-0000-0000-00000F000000}"/>
    <cellStyle name="20% - Énfasis4 2" xfId="160" xr:uid="{00000000-0005-0000-0000-000010000000}"/>
    <cellStyle name="20% - Énfasis4 3" xfId="161" xr:uid="{00000000-0005-0000-0000-000011000000}"/>
    <cellStyle name="20% - Énfasis4 4" xfId="162" xr:uid="{00000000-0005-0000-0000-000012000000}"/>
    <cellStyle name="20% - Énfasis5 2" xfId="163" xr:uid="{00000000-0005-0000-0000-000013000000}"/>
    <cellStyle name="20% - Énfasis5 3" xfId="164" xr:uid="{00000000-0005-0000-0000-000014000000}"/>
    <cellStyle name="20% - Énfasis5 4" xfId="165" xr:uid="{00000000-0005-0000-0000-000015000000}"/>
    <cellStyle name="20% - Énfasis6 2" xfId="166" xr:uid="{00000000-0005-0000-0000-000016000000}"/>
    <cellStyle name="20% - Énfasis6 3" xfId="167" xr:uid="{00000000-0005-0000-0000-000017000000}"/>
    <cellStyle name="20% - Énfasis6 4" xfId="168" xr:uid="{00000000-0005-0000-0000-000018000000}"/>
    <cellStyle name="40% - Accent1" xfId="64" xr:uid="{00000000-0005-0000-0000-000019000000}"/>
    <cellStyle name="40% - Accent2" xfId="65" xr:uid="{00000000-0005-0000-0000-00001A000000}"/>
    <cellStyle name="40% - Accent3" xfId="66" xr:uid="{00000000-0005-0000-0000-00001B000000}"/>
    <cellStyle name="40% - Accent4" xfId="67" xr:uid="{00000000-0005-0000-0000-00001C000000}"/>
    <cellStyle name="40% - Accent5" xfId="68" xr:uid="{00000000-0005-0000-0000-00001D000000}"/>
    <cellStyle name="40% - Accent6" xfId="69" xr:uid="{00000000-0005-0000-0000-00001E000000}"/>
    <cellStyle name="40% - Énfasis1 2" xfId="169" xr:uid="{00000000-0005-0000-0000-00001F000000}"/>
    <cellStyle name="40% - Énfasis1 3" xfId="170" xr:uid="{00000000-0005-0000-0000-000020000000}"/>
    <cellStyle name="40% - Énfasis1 4" xfId="171" xr:uid="{00000000-0005-0000-0000-000021000000}"/>
    <cellStyle name="40% - Énfasis2 2" xfId="172" xr:uid="{00000000-0005-0000-0000-000022000000}"/>
    <cellStyle name="40% - Énfasis2 3" xfId="173" xr:uid="{00000000-0005-0000-0000-000023000000}"/>
    <cellStyle name="40% - Énfasis2 4" xfId="174" xr:uid="{00000000-0005-0000-0000-000024000000}"/>
    <cellStyle name="40% - Énfasis3 2" xfId="175" xr:uid="{00000000-0005-0000-0000-000025000000}"/>
    <cellStyle name="40% - Énfasis3 3" xfId="176" xr:uid="{00000000-0005-0000-0000-000026000000}"/>
    <cellStyle name="40% - Énfasis3 4" xfId="177" xr:uid="{00000000-0005-0000-0000-000027000000}"/>
    <cellStyle name="40% - Énfasis4 2" xfId="178" xr:uid="{00000000-0005-0000-0000-000028000000}"/>
    <cellStyle name="40% - Énfasis4 3" xfId="179" xr:uid="{00000000-0005-0000-0000-000029000000}"/>
    <cellStyle name="40% - Énfasis4 4" xfId="180" xr:uid="{00000000-0005-0000-0000-00002A000000}"/>
    <cellStyle name="40% - Énfasis5 2" xfId="181" xr:uid="{00000000-0005-0000-0000-00002B000000}"/>
    <cellStyle name="40% - Énfasis5 3" xfId="182" xr:uid="{00000000-0005-0000-0000-00002C000000}"/>
    <cellStyle name="40% - Énfasis5 4" xfId="183" xr:uid="{00000000-0005-0000-0000-00002D000000}"/>
    <cellStyle name="40% - Énfasis6 2" xfId="184" xr:uid="{00000000-0005-0000-0000-00002E000000}"/>
    <cellStyle name="40% - Énfasis6 3" xfId="185" xr:uid="{00000000-0005-0000-0000-00002F000000}"/>
    <cellStyle name="40% - Énfasis6 4" xfId="186" xr:uid="{00000000-0005-0000-0000-000030000000}"/>
    <cellStyle name="60% - Accent1" xfId="70" xr:uid="{00000000-0005-0000-0000-000031000000}"/>
    <cellStyle name="60% - Accent2" xfId="71" xr:uid="{00000000-0005-0000-0000-000032000000}"/>
    <cellStyle name="60% - Accent3" xfId="72" xr:uid="{00000000-0005-0000-0000-000033000000}"/>
    <cellStyle name="60% - Accent4" xfId="73" xr:uid="{00000000-0005-0000-0000-000034000000}"/>
    <cellStyle name="60% - Accent5" xfId="74" xr:uid="{00000000-0005-0000-0000-000035000000}"/>
    <cellStyle name="60% - Accent6" xfId="75" xr:uid="{00000000-0005-0000-0000-000036000000}"/>
    <cellStyle name="60% - Énfasis1 2" xfId="187" xr:uid="{00000000-0005-0000-0000-000037000000}"/>
    <cellStyle name="60% - Énfasis1 3" xfId="188" xr:uid="{00000000-0005-0000-0000-000038000000}"/>
    <cellStyle name="60% - Énfasis1 4" xfId="189" xr:uid="{00000000-0005-0000-0000-000039000000}"/>
    <cellStyle name="60% - Énfasis2 2" xfId="190" xr:uid="{00000000-0005-0000-0000-00003A000000}"/>
    <cellStyle name="60% - Énfasis2 3" xfId="191" xr:uid="{00000000-0005-0000-0000-00003B000000}"/>
    <cellStyle name="60% - Énfasis2 4" xfId="192" xr:uid="{00000000-0005-0000-0000-00003C000000}"/>
    <cellStyle name="60% - Énfasis3 2" xfId="193" xr:uid="{00000000-0005-0000-0000-00003D000000}"/>
    <cellStyle name="60% - Énfasis3 3" xfId="194" xr:uid="{00000000-0005-0000-0000-00003E000000}"/>
    <cellStyle name="60% - Énfasis3 4" xfId="195" xr:uid="{00000000-0005-0000-0000-00003F000000}"/>
    <cellStyle name="60% - Énfasis4 2" xfId="196" xr:uid="{00000000-0005-0000-0000-000040000000}"/>
    <cellStyle name="60% - Énfasis4 3" xfId="197" xr:uid="{00000000-0005-0000-0000-000041000000}"/>
    <cellStyle name="60% - Énfasis4 4" xfId="198" xr:uid="{00000000-0005-0000-0000-000042000000}"/>
    <cellStyle name="60% - Énfasis5 2" xfId="199" xr:uid="{00000000-0005-0000-0000-000043000000}"/>
    <cellStyle name="60% - Énfasis5 3" xfId="200" xr:uid="{00000000-0005-0000-0000-000044000000}"/>
    <cellStyle name="60% - Énfasis5 4" xfId="201" xr:uid="{00000000-0005-0000-0000-000045000000}"/>
    <cellStyle name="60% - Énfasis6 2" xfId="202" xr:uid="{00000000-0005-0000-0000-000046000000}"/>
    <cellStyle name="60% - Énfasis6 3" xfId="203" xr:uid="{00000000-0005-0000-0000-000047000000}"/>
    <cellStyle name="60% - Énfasis6 4" xfId="204" xr:uid="{00000000-0005-0000-0000-000048000000}"/>
    <cellStyle name="Accent1" xfId="76" xr:uid="{00000000-0005-0000-0000-000049000000}"/>
    <cellStyle name="Accent1 - 20%" xfId="205" xr:uid="{00000000-0005-0000-0000-00004A000000}"/>
    <cellStyle name="Accent1 - 40%" xfId="206" xr:uid="{00000000-0005-0000-0000-00004B000000}"/>
    <cellStyle name="Accent1 - 60%" xfId="207" xr:uid="{00000000-0005-0000-0000-00004C000000}"/>
    <cellStyle name="Accent1_ANALISIS PARA PRESENTAR OPRET" xfId="208" xr:uid="{00000000-0005-0000-0000-00004D000000}"/>
    <cellStyle name="Accent2" xfId="77" xr:uid="{00000000-0005-0000-0000-00004E000000}"/>
    <cellStyle name="Accent2 - 20%" xfId="209" xr:uid="{00000000-0005-0000-0000-00004F000000}"/>
    <cellStyle name="Accent2 - 40%" xfId="210" xr:uid="{00000000-0005-0000-0000-000050000000}"/>
    <cellStyle name="Accent2 - 60%" xfId="211" xr:uid="{00000000-0005-0000-0000-000051000000}"/>
    <cellStyle name="Accent2_ANALISIS PARA PRESENTAR OPRET" xfId="212" xr:uid="{00000000-0005-0000-0000-000052000000}"/>
    <cellStyle name="Accent3" xfId="78" xr:uid="{00000000-0005-0000-0000-000053000000}"/>
    <cellStyle name="Accent3 - 20%" xfId="213" xr:uid="{00000000-0005-0000-0000-000054000000}"/>
    <cellStyle name="Accent3 - 40%" xfId="214" xr:uid="{00000000-0005-0000-0000-000055000000}"/>
    <cellStyle name="Accent3 - 60%" xfId="215" xr:uid="{00000000-0005-0000-0000-000056000000}"/>
    <cellStyle name="Accent3_ANALISIS PARA PRESENTAR OPRET" xfId="216" xr:uid="{00000000-0005-0000-0000-000057000000}"/>
    <cellStyle name="Accent4" xfId="79" xr:uid="{00000000-0005-0000-0000-000058000000}"/>
    <cellStyle name="Accent4 - 20%" xfId="217" xr:uid="{00000000-0005-0000-0000-000059000000}"/>
    <cellStyle name="Accent4 - 40%" xfId="218" xr:uid="{00000000-0005-0000-0000-00005A000000}"/>
    <cellStyle name="Accent4 - 60%" xfId="219" xr:uid="{00000000-0005-0000-0000-00005B000000}"/>
    <cellStyle name="Accent4_ANALISIS PARA PRESENTAR OPRET" xfId="220" xr:uid="{00000000-0005-0000-0000-00005C000000}"/>
    <cellStyle name="Accent5" xfId="80" xr:uid="{00000000-0005-0000-0000-00005D000000}"/>
    <cellStyle name="Accent5 - 20%" xfId="221" xr:uid="{00000000-0005-0000-0000-00005E000000}"/>
    <cellStyle name="Accent5 - 40%" xfId="222" xr:uid="{00000000-0005-0000-0000-00005F000000}"/>
    <cellStyle name="Accent5 - 60%" xfId="223" xr:uid="{00000000-0005-0000-0000-000060000000}"/>
    <cellStyle name="Accent5_ANALISIS PARA PRESENTAR OPRET" xfId="224" xr:uid="{00000000-0005-0000-0000-000061000000}"/>
    <cellStyle name="Accent6" xfId="81" xr:uid="{00000000-0005-0000-0000-000062000000}"/>
    <cellStyle name="Accent6 - 20%" xfId="225" xr:uid="{00000000-0005-0000-0000-000063000000}"/>
    <cellStyle name="Accent6 - 40%" xfId="226" xr:uid="{00000000-0005-0000-0000-000064000000}"/>
    <cellStyle name="Accent6 - 60%" xfId="227" xr:uid="{00000000-0005-0000-0000-000065000000}"/>
    <cellStyle name="Accent6_ANALISIS PARA PRESENTAR OPRET" xfId="228" xr:uid="{00000000-0005-0000-0000-000066000000}"/>
    <cellStyle name="Bad" xfId="82" xr:uid="{00000000-0005-0000-0000-000067000000}"/>
    <cellStyle name="Buena" xfId="1" xr:uid="{00000000-0005-0000-0000-000068000000}"/>
    <cellStyle name="Buena 2" xfId="229" xr:uid="{00000000-0005-0000-0000-000069000000}"/>
    <cellStyle name="Buena 3" xfId="230" xr:uid="{00000000-0005-0000-0000-00006A000000}"/>
    <cellStyle name="Buena 4" xfId="231" xr:uid="{00000000-0005-0000-0000-00006B000000}"/>
    <cellStyle name="Calculation" xfId="83" xr:uid="{00000000-0005-0000-0000-00006C000000}"/>
    <cellStyle name="Cálculo 2" xfId="232" xr:uid="{00000000-0005-0000-0000-00006D000000}"/>
    <cellStyle name="Cálculo 3" xfId="233" xr:uid="{00000000-0005-0000-0000-00006E000000}"/>
    <cellStyle name="Cálculo 4" xfId="234" xr:uid="{00000000-0005-0000-0000-00006F000000}"/>
    <cellStyle name="Celda de comprobación" xfId="2" xr:uid="{00000000-0005-0000-0000-000070000000}"/>
    <cellStyle name="Celda de comprobación 2" xfId="235" xr:uid="{00000000-0005-0000-0000-000071000000}"/>
    <cellStyle name="Celda de comprobación 3" xfId="236" xr:uid="{00000000-0005-0000-0000-000072000000}"/>
    <cellStyle name="Celda de comprobación 4" xfId="237" xr:uid="{00000000-0005-0000-0000-000073000000}"/>
    <cellStyle name="Celda vinculada" xfId="3" xr:uid="{00000000-0005-0000-0000-000074000000}"/>
    <cellStyle name="Celda vinculada 2" xfId="238" xr:uid="{00000000-0005-0000-0000-000075000000}"/>
    <cellStyle name="Celda vinculada 3" xfId="239" xr:uid="{00000000-0005-0000-0000-000076000000}"/>
    <cellStyle name="Celda vinculada 4" xfId="240" xr:uid="{00000000-0005-0000-0000-000077000000}"/>
    <cellStyle name="Check Cell" xfId="84" xr:uid="{00000000-0005-0000-0000-000078000000}"/>
    <cellStyle name="Comma" xfId="110" builtinId="3"/>
    <cellStyle name="Comma 10" xfId="241" xr:uid="{00000000-0005-0000-0000-000079000000}"/>
    <cellStyle name="Comma 11" xfId="147" xr:uid="{00000000-0005-0000-0000-00007A000000}"/>
    <cellStyle name="Comma 12" xfId="242" xr:uid="{00000000-0005-0000-0000-00007B000000}"/>
    <cellStyle name="Comma 13" xfId="243" xr:uid="{00000000-0005-0000-0000-00007C000000}"/>
    <cellStyle name="Comma 2" xfId="4" xr:uid="{00000000-0005-0000-0000-00007D000000}"/>
    <cellStyle name="Comma 2 2" xfId="124" xr:uid="{00000000-0005-0000-0000-00007E000000}"/>
    <cellStyle name="Comma 2 3" xfId="244" xr:uid="{00000000-0005-0000-0000-00007F000000}"/>
    <cellStyle name="Comma 3" xfId="5" xr:uid="{00000000-0005-0000-0000-000080000000}"/>
    <cellStyle name="Comma 3 2" xfId="6" xr:uid="{00000000-0005-0000-0000-000081000000}"/>
    <cellStyle name="Comma 3 3" xfId="125" xr:uid="{00000000-0005-0000-0000-000082000000}"/>
    <cellStyle name="Comma 3_Adicional No. 1  Edificio Biblioteca y Verja y parqueos  Universidad ITECO" xfId="245" xr:uid="{00000000-0005-0000-0000-000083000000}"/>
    <cellStyle name="Comma 4" xfId="7" xr:uid="{00000000-0005-0000-0000-000084000000}"/>
    <cellStyle name="Comma 4 2" xfId="246" xr:uid="{00000000-0005-0000-0000-000085000000}"/>
    <cellStyle name="Comma 4_Presupuesto_remodelacion vivienda en cancino pe" xfId="247" xr:uid="{00000000-0005-0000-0000-000086000000}"/>
    <cellStyle name="Comma 5" xfId="85" xr:uid="{00000000-0005-0000-0000-000087000000}"/>
    <cellStyle name="Comma 5 2" xfId="52" xr:uid="{00000000-0005-0000-0000-000088000000}"/>
    <cellStyle name="Comma 6" xfId="86" xr:uid="{00000000-0005-0000-0000-000089000000}"/>
    <cellStyle name="Comma 6 2" xfId="54" xr:uid="{00000000-0005-0000-0000-00008A000000}"/>
    <cellStyle name="Comma 7" xfId="8" xr:uid="{00000000-0005-0000-0000-00008B000000}"/>
    <cellStyle name="Comma 7 2" xfId="126" xr:uid="{00000000-0005-0000-0000-00008C000000}"/>
    <cellStyle name="Comma 8" xfId="87" xr:uid="{00000000-0005-0000-0000-00008D000000}"/>
    <cellStyle name="Comma 8 2" xfId="50" xr:uid="{00000000-0005-0000-0000-00008E000000}"/>
    <cellStyle name="Comma 8 2 2" xfId="106" xr:uid="{00000000-0005-0000-0000-00008F000000}"/>
    <cellStyle name="Comma 8 3" xfId="104" xr:uid="{00000000-0005-0000-0000-000090000000}"/>
    <cellStyle name="Comma 9" xfId="127" xr:uid="{00000000-0005-0000-0000-000091000000}"/>
    <cellStyle name="Currency 2" xfId="248" xr:uid="{00000000-0005-0000-0000-000093000000}"/>
    <cellStyle name="Currency 3" xfId="249" xr:uid="{00000000-0005-0000-0000-000094000000}"/>
    <cellStyle name="Currency 4" xfId="250" xr:uid="{00000000-0005-0000-0000-000095000000}"/>
    <cellStyle name="Emphasis 1" xfId="251" xr:uid="{00000000-0005-0000-0000-000097000000}"/>
    <cellStyle name="Emphasis 2" xfId="252" xr:uid="{00000000-0005-0000-0000-000098000000}"/>
    <cellStyle name="Emphasis 3" xfId="253" xr:uid="{00000000-0005-0000-0000-000099000000}"/>
    <cellStyle name="Encabezado 4" xfId="9" xr:uid="{00000000-0005-0000-0000-00009A000000}"/>
    <cellStyle name="Encabezado 4 2" xfId="254" xr:uid="{00000000-0005-0000-0000-00009B000000}"/>
    <cellStyle name="Encabezado 4 3" xfId="255" xr:uid="{00000000-0005-0000-0000-00009C000000}"/>
    <cellStyle name="Encabezado 4 4" xfId="256" xr:uid="{00000000-0005-0000-0000-00009D000000}"/>
    <cellStyle name="Énfasis 1" xfId="257" xr:uid="{00000000-0005-0000-0000-00009E000000}"/>
    <cellStyle name="Énfasis 2" xfId="258" xr:uid="{00000000-0005-0000-0000-00009F000000}"/>
    <cellStyle name="Énfasis 3" xfId="259" xr:uid="{00000000-0005-0000-0000-0000A0000000}"/>
    <cellStyle name="Énfasis1 - 20%" xfId="260" xr:uid="{00000000-0005-0000-0000-0000A1000000}"/>
    <cellStyle name="Énfasis1 - 40%" xfId="261" xr:uid="{00000000-0005-0000-0000-0000A2000000}"/>
    <cellStyle name="Énfasis1 - 60%" xfId="262" xr:uid="{00000000-0005-0000-0000-0000A3000000}"/>
    <cellStyle name="Énfasis1 2" xfId="263" xr:uid="{00000000-0005-0000-0000-0000A4000000}"/>
    <cellStyle name="Énfasis1 3" xfId="264" xr:uid="{00000000-0005-0000-0000-0000A5000000}"/>
    <cellStyle name="Énfasis1 4" xfId="265" xr:uid="{00000000-0005-0000-0000-0000A6000000}"/>
    <cellStyle name="Énfasis2 - 20%" xfId="266" xr:uid="{00000000-0005-0000-0000-0000A7000000}"/>
    <cellStyle name="Énfasis2 - 40%" xfId="267" xr:uid="{00000000-0005-0000-0000-0000A8000000}"/>
    <cellStyle name="Énfasis2 - 60%" xfId="268" xr:uid="{00000000-0005-0000-0000-0000A9000000}"/>
    <cellStyle name="Énfasis2 2" xfId="269" xr:uid="{00000000-0005-0000-0000-0000AA000000}"/>
    <cellStyle name="Énfasis2 3" xfId="270" xr:uid="{00000000-0005-0000-0000-0000AB000000}"/>
    <cellStyle name="Énfasis2 4" xfId="271" xr:uid="{00000000-0005-0000-0000-0000AC000000}"/>
    <cellStyle name="Énfasis3 - 20%" xfId="272" xr:uid="{00000000-0005-0000-0000-0000AD000000}"/>
    <cellStyle name="Énfasis3 - 40%" xfId="273" xr:uid="{00000000-0005-0000-0000-0000AE000000}"/>
    <cellStyle name="Énfasis3 - 60%" xfId="274" xr:uid="{00000000-0005-0000-0000-0000AF000000}"/>
    <cellStyle name="Énfasis3 2" xfId="275" xr:uid="{00000000-0005-0000-0000-0000B0000000}"/>
    <cellStyle name="Énfasis3 3" xfId="276" xr:uid="{00000000-0005-0000-0000-0000B1000000}"/>
    <cellStyle name="Énfasis3 4" xfId="277" xr:uid="{00000000-0005-0000-0000-0000B2000000}"/>
    <cellStyle name="Énfasis4 - 20%" xfId="278" xr:uid="{00000000-0005-0000-0000-0000B3000000}"/>
    <cellStyle name="Énfasis4 - 40%" xfId="279" xr:uid="{00000000-0005-0000-0000-0000B4000000}"/>
    <cellStyle name="Énfasis4 - 60%" xfId="280" xr:uid="{00000000-0005-0000-0000-0000B5000000}"/>
    <cellStyle name="Énfasis4 2" xfId="281" xr:uid="{00000000-0005-0000-0000-0000B6000000}"/>
    <cellStyle name="Énfasis4 3" xfId="282" xr:uid="{00000000-0005-0000-0000-0000B7000000}"/>
    <cellStyle name="Énfasis4 4" xfId="283" xr:uid="{00000000-0005-0000-0000-0000B8000000}"/>
    <cellStyle name="Énfasis5 - 20%" xfId="284" xr:uid="{00000000-0005-0000-0000-0000B9000000}"/>
    <cellStyle name="Énfasis5 - 40%" xfId="285" xr:uid="{00000000-0005-0000-0000-0000BA000000}"/>
    <cellStyle name="Énfasis5 - 60%" xfId="286" xr:uid="{00000000-0005-0000-0000-0000BB000000}"/>
    <cellStyle name="Énfasis5 2" xfId="287" xr:uid="{00000000-0005-0000-0000-0000BC000000}"/>
    <cellStyle name="Énfasis5 3" xfId="288" xr:uid="{00000000-0005-0000-0000-0000BD000000}"/>
    <cellStyle name="Énfasis5 4" xfId="289" xr:uid="{00000000-0005-0000-0000-0000BE000000}"/>
    <cellStyle name="Énfasis6 - 20%" xfId="290" xr:uid="{00000000-0005-0000-0000-0000BF000000}"/>
    <cellStyle name="Énfasis6 - 40%" xfId="291" xr:uid="{00000000-0005-0000-0000-0000C0000000}"/>
    <cellStyle name="Énfasis6 - 60%" xfId="292" xr:uid="{00000000-0005-0000-0000-0000C1000000}"/>
    <cellStyle name="Énfasis6 2" xfId="293" xr:uid="{00000000-0005-0000-0000-0000C2000000}"/>
    <cellStyle name="Énfasis6 3" xfId="294" xr:uid="{00000000-0005-0000-0000-0000C3000000}"/>
    <cellStyle name="Énfasis6 4" xfId="295" xr:uid="{00000000-0005-0000-0000-0000C4000000}"/>
    <cellStyle name="Entrada" xfId="10" xr:uid="{00000000-0005-0000-0000-0000C5000000}"/>
    <cellStyle name="Entrada 2" xfId="296" xr:uid="{00000000-0005-0000-0000-0000C6000000}"/>
    <cellStyle name="Entrada 3" xfId="297" xr:uid="{00000000-0005-0000-0000-0000C7000000}"/>
    <cellStyle name="Entrada 4" xfId="298" xr:uid="{00000000-0005-0000-0000-0000C8000000}"/>
    <cellStyle name="Euro" xfId="11" xr:uid="{00000000-0005-0000-0000-0000C9000000}"/>
    <cellStyle name="Euro 2" xfId="12" xr:uid="{00000000-0005-0000-0000-0000CA000000}"/>
    <cellStyle name="Euro 2 2" xfId="13" xr:uid="{00000000-0005-0000-0000-0000CB000000}"/>
    <cellStyle name="Euro 2 3" xfId="45" xr:uid="{00000000-0005-0000-0000-0000CC000000}"/>
    <cellStyle name="Euro 3" xfId="299" xr:uid="{00000000-0005-0000-0000-0000CD000000}"/>
    <cellStyle name="Euro_Adicional No. 1  Edificio Biblioteca y Verja y parqueos  Universidad ITECO" xfId="300" xr:uid="{00000000-0005-0000-0000-0000CE000000}"/>
    <cellStyle name="Excel Built-in Comma" xfId="301" xr:uid="{00000000-0005-0000-0000-0000CF000000}"/>
    <cellStyle name="Excel Built-in Normal" xfId="302" xr:uid="{00000000-0005-0000-0000-0000D0000000}"/>
    <cellStyle name="Explanatory Text" xfId="88" xr:uid="{00000000-0005-0000-0000-0000D1000000}"/>
    <cellStyle name="F2" xfId="303" xr:uid="{00000000-0005-0000-0000-0000D2000000}"/>
    <cellStyle name="F3" xfId="304" xr:uid="{00000000-0005-0000-0000-0000D3000000}"/>
    <cellStyle name="F4" xfId="305" xr:uid="{00000000-0005-0000-0000-0000D4000000}"/>
    <cellStyle name="F5" xfId="306" xr:uid="{00000000-0005-0000-0000-0000D5000000}"/>
    <cellStyle name="F6" xfId="307" xr:uid="{00000000-0005-0000-0000-0000D6000000}"/>
    <cellStyle name="F7" xfId="308" xr:uid="{00000000-0005-0000-0000-0000D7000000}"/>
    <cellStyle name="F8" xfId="309" xr:uid="{00000000-0005-0000-0000-0000D8000000}"/>
    <cellStyle name="Followed Hyperlink" xfId="310" xr:uid="{00000000-0005-0000-0000-0000D9000000}"/>
    <cellStyle name="Good" xfId="89" xr:uid="{00000000-0005-0000-0000-0000DA000000}"/>
    <cellStyle name="Heading 1" xfId="90" xr:uid="{00000000-0005-0000-0000-0000DB000000}"/>
    <cellStyle name="Heading 2" xfId="91" xr:uid="{00000000-0005-0000-0000-0000DC000000}"/>
    <cellStyle name="Heading 3" xfId="92" xr:uid="{00000000-0005-0000-0000-0000DD000000}"/>
    <cellStyle name="Heading 4" xfId="93" xr:uid="{00000000-0005-0000-0000-0000DE000000}"/>
    <cellStyle name="Hipervínculo visitado 2" xfId="311" xr:uid="{00000000-0005-0000-0000-0000DF000000}"/>
    <cellStyle name="Hyperlink" xfId="312" xr:uid="{00000000-0005-0000-0000-0000E0000000}"/>
    <cellStyle name="Incorrecto 2" xfId="313" xr:uid="{00000000-0005-0000-0000-0000E1000000}"/>
    <cellStyle name="Incorrecto 3" xfId="314" xr:uid="{00000000-0005-0000-0000-0000E2000000}"/>
    <cellStyle name="Incorrecto 4" xfId="315" xr:uid="{00000000-0005-0000-0000-0000E3000000}"/>
    <cellStyle name="Input" xfId="94" xr:uid="{00000000-0005-0000-0000-0000E4000000}"/>
    <cellStyle name="Linked Cell" xfId="95" xr:uid="{00000000-0005-0000-0000-0000E5000000}"/>
    <cellStyle name="Millares [0] 3" xfId="464" xr:uid="{00000000-0005-0000-0000-0000E7000000}"/>
    <cellStyle name="Millares [0] 5" xfId="461" xr:uid="{00000000-0005-0000-0000-0000E8000000}"/>
    <cellStyle name="Millares 10" xfId="103" xr:uid="{00000000-0005-0000-0000-0000E9000000}"/>
    <cellStyle name="Millares 10 2" xfId="316" xr:uid="{00000000-0005-0000-0000-0000EA000000}"/>
    <cellStyle name="Millares 11" xfId="112" xr:uid="{00000000-0005-0000-0000-0000EB000000}"/>
    <cellStyle name="Millares 11 2" xfId="317" xr:uid="{00000000-0005-0000-0000-0000EC000000}"/>
    <cellStyle name="Millares 12" xfId="117" xr:uid="{00000000-0005-0000-0000-0000ED000000}"/>
    <cellStyle name="Millares 12 2" xfId="123" xr:uid="{00000000-0005-0000-0000-0000EE000000}"/>
    <cellStyle name="Millares 13" xfId="318" xr:uid="{00000000-0005-0000-0000-0000EF000000}"/>
    <cellStyle name="Millares 13 2" xfId="319" xr:uid="{00000000-0005-0000-0000-0000F0000000}"/>
    <cellStyle name="Millares 14" xfId="320" xr:uid="{00000000-0005-0000-0000-0000F1000000}"/>
    <cellStyle name="Millares 15" xfId="321" xr:uid="{00000000-0005-0000-0000-0000F2000000}"/>
    <cellStyle name="Millares 16" xfId="322" xr:uid="{00000000-0005-0000-0000-0000F3000000}"/>
    <cellStyle name="Millares 17" xfId="323" xr:uid="{00000000-0005-0000-0000-0000F4000000}"/>
    <cellStyle name="Millares 18" xfId="324" xr:uid="{00000000-0005-0000-0000-0000F5000000}"/>
    <cellStyle name="Millares 19" xfId="325" xr:uid="{00000000-0005-0000-0000-0000F6000000}"/>
    <cellStyle name="Millares 2" xfId="14" xr:uid="{00000000-0005-0000-0000-0000F7000000}"/>
    <cellStyle name="Millares 2 10" xfId="326" xr:uid="{00000000-0005-0000-0000-0000F8000000}"/>
    <cellStyle name="Millares 2 2" xfId="15" xr:uid="{00000000-0005-0000-0000-0000F9000000}"/>
    <cellStyle name="Millares 2 2 2" xfId="16" xr:uid="{00000000-0005-0000-0000-0000FA000000}"/>
    <cellStyle name="Millares 2 2 2 2" xfId="108" xr:uid="{00000000-0005-0000-0000-0000FB000000}"/>
    <cellStyle name="Millares 2 2 3" xfId="128" xr:uid="{00000000-0005-0000-0000-0000FC000000}"/>
    <cellStyle name="Millares 2 3" xfId="17" xr:uid="{00000000-0005-0000-0000-0000FD000000}"/>
    <cellStyle name="Millares 2 3 2" xfId="129" xr:uid="{00000000-0005-0000-0000-0000FE000000}"/>
    <cellStyle name="Millares 2 4" xfId="18" xr:uid="{00000000-0005-0000-0000-0000FF000000}"/>
    <cellStyle name="Millares 2 4 2" xfId="122" xr:uid="{00000000-0005-0000-0000-000000010000}"/>
    <cellStyle name="Millares 2 5" xfId="327" xr:uid="{00000000-0005-0000-0000-000001010000}"/>
    <cellStyle name="Millares 2_ANALISIS COSTOS PORTICOS GRAN TECHO" xfId="328" xr:uid="{00000000-0005-0000-0000-000002010000}"/>
    <cellStyle name="Millares 3" xfId="19" xr:uid="{00000000-0005-0000-0000-000003010000}"/>
    <cellStyle name="Millares 3 2" xfId="20" xr:uid="{00000000-0005-0000-0000-000004010000}"/>
    <cellStyle name="Millares 3 2 2" xfId="130" xr:uid="{00000000-0005-0000-0000-000005010000}"/>
    <cellStyle name="Millares 3 3" xfId="21" xr:uid="{00000000-0005-0000-0000-000006010000}"/>
    <cellStyle name="Millares 3 3 2" xfId="131" xr:uid="{00000000-0005-0000-0000-000007010000}"/>
    <cellStyle name="Millares 3 4" xfId="55" xr:uid="{00000000-0005-0000-0000-000008010000}"/>
    <cellStyle name="Millares 3_DESGLOSE_DE_PORTICOS_METALICOS_UASD_BONAO_ENV" xfId="329" xr:uid="{00000000-0005-0000-0000-000009010000}"/>
    <cellStyle name="Millares 4" xfId="22" xr:uid="{00000000-0005-0000-0000-00000A010000}"/>
    <cellStyle name="Millares 4 2" xfId="23" xr:uid="{00000000-0005-0000-0000-00000B010000}"/>
    <cellStyle name="Millares 4 2 2" xfId="132" xr:uid="{00000000-0005-0000-0000-00000C010000}"/>
    <cellStyle name="Millares 4 3" xfId="24" xr:uid="{00000000-0005-0000-0000-00000D010000}"/>
    <cellStyle name="Millares 4 3 2" xfId="133" xr:uid="{00000000-0005-0000-0000-00000E010000}"/>
    <cellStyle name="Millares 4 4" xfId="48" xr:uid="{00000000-0005-0000-0000-00000F010000}"/>
    <cellStyle name="Millares 4 5" xfId="134" xr:uid="{00000000-0005-0000-0000-000010010000}"/>
    <cellStyle name="Millares 4_Presupuesto Construccion edificio oficina gubernamentales de san juan" xfId="330" xr:uid="{00000000-0005-0000-0000-000011010000}"/>
    <cellStyle name="Millares 5" xfId="25" xr:uid="{00000000-0005-0000-0000-000012010000}"/>
    <cellStyle name="Millares 5 2" xfId="135" xr:uid="{00000000-0005-0000-0000-000013010000}"/>
    <cellStyle name="Millares 5 2 2" xfId="331" xr:uid="{00000000-0005-0000-0000-000014010000}"/>
    <cellStyle name="Millares 5 3" xfId="332" xr:uid="{00000000-0005-0000-0000-000015010000}"/>
    <cellStyle name="Millares 6" xfId="26" xr:uid="{00000000-0005-0000-0000-000016010000}"/>
    <cellStyle name="Millares 6 2" xfId="49" xr:uid="{00000000-0005-0000-0000-000017010000}"/>
    <cellStyle name="Millares 7" xfId="96" xr:uid="{00000000-0005-0000-0000-000018010000}"/>
    <cellStyle name="Millares 7 2" xfId="27" xr:uid="{00000000-0005-0000-0000-000019010000}"/>
    <cellStyle name="Millares 7 2 2" xfId="120" xr:uid="{00000000-0005-0000-0000-00001A010000}"/>
    <cellStyle name="Millares 7 2 2 2" xfId="333" xr:uid="{00000000-0005-0000-0000-00001B010000}"/>
    <cellStyle name="Millares 7 2 3" xfId="334" xr:uid="{00000000-0005-0000-0000-00001C010000}"/>
    <cellStyle name="Millares 7 2 4" xfId="335" xr:uid="{00000000-0005-0000-0000-00001D010000}"/>
    <cellStyle name="Millares 7 2 5" xfId="336" xr:uid="{00000000-0005-0000-0000-00001E010000}"/>
    <cellStyle name="Millares 7 2 6" xfId="337" xr:uid="{00000000-0005-0000-0000-00001F010000}"/>
    <cellStyle name="Millares 7 2 7" xfId="338" xr:uid="{00000000-0005-0000-0000-000020010000}"/>
    <cellStyle name="Millares 7 2 8" xfId="339" xr:uid="{00000000-0005-0000-0000-000021010000}"/>
    <cellStyle name="Millares 7 2 9" xfId="340" xr:uid="{00000000-0005-0000-0000-000022010000}"/>
    <cellStyle name="Millares 7 3" xfId="341" xr:uid="{00000000-0005-0000-0000-000023010000}"/>
    <cellStyle name="Millares 8" xfId="46" xr:uid="{00000000-0005-0000-0000-000024010000}"/>
    <cellStyle name="Millares 8 2" xfId="105" xr:uid="{00000000-0005-0000-0000-000025010000}"/>
    <cellStyle name="Millares 8 2 2" xfId="342" xr:uid="{00000000-0005-0000-0000-000026010000}"/>
    <cellStyle name="Millares 9" xfId="97" xr:uid="{00000000-0005-0000-0000-000027010000}"/>
    <cellStyle name="Millares 9 2" xfId="107" xr:uid="{00000000-0005-0000-0000-000028010000}"/>
    <cellStyle name="Millares_Copia_de_Juzgado_Boca_Chica_Presupuesto_REVISADO_TECSA_01(2) 2" xfId="28" xr:uid="{00000000-0005-0000-0000-000029010000}"/>
    <cellStyle name="Moneda [0] 2" xfId="343" xr:uid="{00000000-0005-0000-0000-00002A010000}"/>
    <cellStyle name="Moneda 2" xfId="29" xr:uid="{00000000-0005-0000-0000-00002B010000}"/>
    <cellStyle name="Moneda 2 2" xfId="30" xr:uid="{00000000-0005-0000-0000-00002C010000}"/>
    <cellStyle name="Moneda 2 2 2" xfId="136" xr:uid="{00000000-0005-0000-0000-00002D010000}"/>
    <cellStyle name="Moneda 2 2 2 2" xfId="344" xr:uid="{00000000-0005-0000-0000-00002E010000}"/>
    <cellStyle name="Moneda 2 3" xfId="47" xr:uid="{00000000-0005-0000-0000-00002F010000}"/>
    <cellStyle name="Moneda 2 4" xfId="109" xr:uid="{00000000-0005-0000-0000-000030010000}"/>
    <cellStyle name="Moneda 2_ANALISIS COSTOS PORTICOS GRAN TECHO" xfId="345" xr:uid="{00000000-0005-0000-0000-000031010000}"/>
    <cellStyle name="Moneda 3" xfId="31" xr:uid="{00000000-0005-0000-0000-000032010000}"/>
    <cellStyle name="Moneda 3 2" xfId="137" xr:uid="{00000000-0005-0000-0000-000033010000}"/>
    <cellStyle name="Moneda 3 3" xfId="346" xr:uid="{00000000-0005-0000-0000-000034010000}"/>
    <cellStyle name="Moneda 4" xfId="32" xr:uid="{00000000-0005-0000-0000-000035010000}"/>
    <cellStyle name="Moneda 4 2" xfId="138" xr:uid="{00000000-0005-0000-0000-000036010000}"/>
    <cellStyle name="Moneda 5" xfId="98" xr:uid="{00000000-0005-0000-0000-000037010000}"/>
    <cellStyle name="Moneda 6" xfId="57" xr:uid="{00000000-0005-0000-0000-000038010000}"/>
    <cellStyle name="Moneda 6 2" xfId="139" xr:uid="{00000000-0005-0000-0000-000039010000}"/>
    <cellStyle name="Moneda 7" xfId="347" xr:uid="{00000000-0005-0000-0000-00003A010000}"/>
    <cellStyle name="Neutral 2" xfId="348" xr:uid="{00000000-0005-0000-0000-00003B010000}"/>
    <cellStyle name="Neutral 3" xfId="349" xr:uid="{00000000-0005-0000-0000-00003C010000}"/>
    <cellStyle name="Neutral 4" xfId="350" xr:uid="{00000000-0005-0000-0000-00003D010000}"/>
    <cellStyle name="No-definido" xfId="351" xr:uid="{00000000-0005-0000-0000-00003E010000}"/>
    <cellStyle name="Normal" xfId="0" builtinId="0"/>
    <cellStyle name="Normal - Style1" xfId="33" xr:uid="{00000000-0005-0000-0000-000040010000}"/>
    <cellStyle name="Normal 10" xfId="119" xr:uid="{00000000-0005-0000-0000-000041010000}"/>
    <cellStyle name="Normal 10 2" xfId="352" xr:uid="{00000000-0005-0000-0000-000042010000}"/>
    <cellStyle name="Normal 11" xfId="353" xr:uid="{00000000-0005-0000-0000-000043010000}"/>
    <cellStyle name="Normal 12" xfId="354" xr:uid="{00000000-0005-0000-0000-000044010000}"/>
    <cellStyle name="Normal 13" xfId="355" xr:uid="{00000000-0005-0000-0000-000045010000}"/>
    <cellStyle name="Normal 14" xfId="356" xr:uid="{00000000-0005-0000-0000-000046010000}"/>
    <cellStyle name="Normal 15" xfId="357" xr:uid="{00000000-0005-0000-0000-000047010000}"/>
    <cellStyle name="Normal 16" xfId="358" xr:uid="{00000000-0005-0000-0000-000048010000}"/>
    <cellStyle name="Normal 17" xfId="359" xr:uid="{00000000-0005-0000-0000-000049010000}"/>
    <cellStyle name="Normal 18" xfId="360" xr:uid="{00000000-0005-0000-0000-00004A010000}"/>
    <cellStyle name="Normal 19" xfId="361" xr:uid="{00000000-0005-0000-0000-00004B010000}"/>
    <cellStyle name="Normal 2" xfId="34" xr:uid="{00000000-0005-0000-0000-00004C010000}"/>
    <cellStyle name="Normal 2 2" xfId="35" xr:uid="{00000000-0005-0000-0000-00004D010000}"/>
    <cellStyle name="Normal 2 2 2" xfId="113" xr:uid="{00000000-0005-0000-0000-00004E010000}"/>
    <cellStyle name="Normal 2 2 2 2" xfId="121" xr:uid="{00000000-0005-0000-0000-00004F010000}"/>
    <cellStyle name="Normal 2 3" xfId="36" xr:uid="{00000000-0005-0000-0000-000050010000}"/>
    <cellStyle name="Normal 2 4" xfId="149" xr:uid="{00000000-0005-0000-0000-000051010000}"/>
    <cellStyle name="Normal 2 4 2" xfId="362" xr:uid="{00000000-0005-0000-0000-000052010000}"/>
    <cellStyle name="Normal 2 5" xfId="363" xr:uid="{00000000-0005-0000-0000-000053010000}"/>
    <cellStyle name="Normal 2_Adicional No. 1  Edificio Biblioteca y Verja y parqueos  Universidad ITECO" xfId="364" xr:uid="{00000000-0005-0000-0000-000054010000}"/>
    <cellStyle name="Normal 20" xfId="365" xr:uid="{00000000-0005-0000-0000-000055010000}"/>
    <cellStyle name="Normal 21" xfId="366" xr:uid="{00000000-0005-0000-0000-000056010000}"/>
    <cellStyle name="Normal 22" xfId="367" xr:uid="{00000000-0005-0000-0000-000057010000}"/>
    <cellStyle name="Normal 23" xfId="368" xr:uid="{00000000-0005-0000-0000-000058010000}"/>
    <cellStyle name="Normal 24" xfId="116" xr:uid="{00000000-0005-0000-0000-000059010000}"/>
    <cellStyle name="Normal 24 2" xfId="140" xr:uid="{00000000-0005-0000-0000-00005A010000}"/>
    <cellStyle name="Normal 25" xfId="369" xr:uid="{00000000-0005-0000-0000-00005B010000}"/>
    <cellStyle name="Normal 26" xfId="370" xr:uid="{00000000-0005-0000-0000-00005C010000}"/>
    <cellStyle name="Normal 27" xfId="371" xr:uid="{00000000-0005-0000-0000-00005D010000}"/>
    <cellStyle name="Normal 3" xfId="37" xr:uid="{00000000-0005-0000-0000-00005E010000}"/>
    <cellStyle name="Normal 3 2" xfId="111" xr:uid="{00000000-0005-0000-0000-00005F010000}"/>
    <cellStyle name="Normal 3 3" xfId="372" xr:uid="{00000000-0005-0000-0000-000060010000}"/>
    <cellStyle name="Normal 3 4" xfId="373" xr:uid="{00000000-0005-0000-0000-000061010000}"/>
    <cellStyle name="Normal 3_Presupuesto Construccion Parque El Lucero San Juan de la Maguana" xfId="374" xr:uid="{00000000-0005-0000-0000-000062010000}"/>
    <cellStyle name="Normal 4" xfId="114" xr:uid="{00000000-0005-0000-0000-000063010000}"/>
    <cellStyle name="Normal 4 10" xfId="375" xr:uid="{00000000-0005-0000-0000-000064010000}"/>
    <cellStyle name="Normal 4 11" xfId="376" xr:uid="{00000000-0005-0000-0000-000065010000}"/>
    <cellStyle name="Normal 4 12" xfId="377" xr:uid="{00000000-0005-0000-0000-000066010000}"/>
    <cellStyle name="Normal 4 13" xfId="378" xr:uid="{00000000-0005-0000-0000-000067010000}"/>
    <cellStyle name="Normal 4 14" xfId="379" xr:uid="{00000000-0005-0000-0000-000068010000}"/>
    <cellStyle name="Normal 4 2" xfId="380" xr:uid="{00000000-0005-0000-0000-000069010000}"/>
    <cellStyle name="Normal 4 3" xfId="118" xr:uid="{00000000-0005-0000-0000-00006A010000}"/>
    <cellStyle name="Normal 4 3 2" xfId="148" xr:uid="{00000000-0005-0000-0000-00006B010000}"/>
    <cellStyle name="Normal 4 4" xfId="381" xr:uid="{00000000-0005-0000-0000-00006C010000}"/>
    <cellStyle name="Normal 4 5" xfId="382" xr:uid="{00000000-0005-0000-0000-00006D010000}"/>
    <cellStyle name="Normal 4 6" xfId="383" xr:uid="{00000000-0005-0000-0000-00006E010000}"/>
    <cellStyle name="Normal 4 7" xfId="384" xr:uid="{00000000-0005-0000-0000-00006F010000}"/>
    <cellStyle name="Normal 4 8" xfId="385" xr:uid="{00000000-0005-0000-0000-000070010000}"/>
    <cellStyle name="Normal 4 9" xfId="386" xr:uid="{00000000-0005-0000-0000-000071010000}"/>
    <cellStyle name="Normal 4_Administration_Building_-_Lista_de_Partidas_y_Cantidades_-_(PVDC-004)_REVC mod" xfId="387" xr:uid="{00000000-0005-0000-0000-000072010000}"/>
    <cellStyle name="Normal 5" xfId="115" xr:uid="{00000000-0005-0000-0000-000073010000}"/>
    <cellStyle name="Normal 5 10" xfId="388" xr:uid="{00000000-0005-0000-0000-000074010000}"/>
    <cellStyle name="Normal 5 11" xfId="389" xr:uid="{00000000-0005-0000-0000-000075010000}"/>
    <cellStyle name="Normal 5 12" xfId="390" xr:uid="{00000000-0005-0000-0000-000076010000}"/>
    <cellStyle name="Normal 5 13" xfId="391" xr:uid="{00000000-0005-0000-0000-000077010000}"/>
    <cellStyle name="Normal 5 14" xfId="392" xr:uid="{00000000-0005-0000-0000-000078010000}"/>
    <cellStyle name="Normal 5 2" xfId="141" xr:uid="{00000000-0005-0000-0000-000079010000}"/>
    <cellStyle name="Normal 5 3" xfId="393" xr:uid="{00000000-0005-0000-0000-00007A010000}"/>
    <cellStyle name="Normal 5 4" xfId="394" xr:uid="{00000000-0005-0000-0000-00007B010000}"/>
    <cellStyle name="Normal 5 5" xfId="395" xr:uid="{00000000-0005-0000-0000-00007C010000}"/>
    <cellStyle name="Normal 5 6" xfId="396" xr:uid="{00000000-0005-0000-0000-00007D010000}"/>
    <cellStyle name="Normal 5 7" xfId="397" xr:uid="{00000000-0005-0000-0000-00007E010000}"/>
    <cellStyle name="Normal 5 8" xfId="398" xr:uid="{00000000-0005-0000-0000-00007F010000}"/>
    <cellStyle name="Normal 5 9" xfId="399" xr:uid="{00000000-0005-0000-0000-000080010000}"/>
    <cellStyle name="Normal 5_Administration_Building_-_Lista_de_Partidas_y_Cantidades_-_(PVDC-004)_REVC mod" xfId="400" xr:uid="{00000000-0005-0000-0000-000081010000}"/>
    <cellStyle name="Normal 6" xfId="145" xr:uid="{00000000-0005-0000-0000-000082010000}"/>
    <cellStyle name="Normal 7" xfId="401" xr:uid="{00000000-0005-0000-0000-000083010000}"/>
    <cellStyle name="Normal 7 2" xfId="402" xr:uid="{00000000-0005-0000-0000-000084010000}"/>
    <cellStyle name="Normal 8" xfId="403" xr:uid="{00000000-0005-0000-0000-000085010000}"/>
    <cellStyle name="Normal 9" xfId="146" xr:uid="{00000000-0005-0000-0000-000086010000}"/>
    <cellStyle name="Normal_EDIFICIO VILLA OLIMPICA" xfId="462" xr:uid="{00000000-0005-0000-0000-000087010000}"/>
    <cellStyle name="Normal_escalera y baño curo 2" xfId="38" xr:uid="{00000000-0005-0000-0000-000088010000}"/>
    <cellStyle name="Normal_RESIDENCIAL SAN ANDRES 2" xfId="463" xr:uid="{00000000-0005-0000-0000-000089010000}"/>
    <cellStyle name="Notas" xfId="39" xr:uid="{00000000-0005-0000-0000-00008A010000}"/>
    <cellStyle name="Notas 2" xfId="142" xr:uid="{00000000-0005-0000-0000-00008B010000}"/>
    <cellStyle name="Notas 3" xfId="404" xr:uid="{00000000-0005-0000-0000-00008C010000}"/>
    <cellStyle name="Notas 4" xfId="405" xr:uid="{00000000-0005-0000-0000-00008D010000}"/>
    <cellStyle name="Note" xfId="99" xr:uid="{00000000-0005-0000-0000-00008E010000}"/>
    <cellStyle name="Note 2" xfId="143" xr:uid="{00000000-0005-0000-0000-00008F010000}"/>
    <cellStyle name="Output" xfId="100" xr:uid="{00000000-0005-0000-0000-000090010000}"/>
    <cellStyle name="Percent 2" xfId="40" xr:uid="{00000000-0005-0000-0000-000091010000}"/>
    <cellStyle name="Percent 2 2" xfId="41" xr:uid="{00000000-0005-0000-0000-000092010000}"/>
    <cellStyle name="Percent 2 3" xfId="53" xr:uid="{00000000-0005-0000-0000-000093010000}"/>
    <cellStyle name="Percent 3" xfId="42" xr:uid="{00000000-0005-0000-0000-000094010000}"/>
    <cellStyle name="Percent 3 2" xfId="406" xr:uid="{00000000-0005-0000-0000-000095010000}"/>
    <cellStyle name="Percent 4" xfId="407" xr:uid="{00000000-0005-0000-0000-000096010000}"/>
    <cellStyle name="Porcentaje 2" xfId="460" xr:uid="{00000000-0005-0000-0000-000097010000}"/>
    <cellStyle name="Porcentual 10" xfId="408" xr:uid="{00000000-0005-0000-0000-000098010000}"/>
    <cellStyle name="Porcentual 2" xfId="43" xr:uid="{00000000-0005-0000-0000-000099010000}"/>
    <cellStyle name="Porcentual 2 2" xfId="51" xr:uid="{00000000-0005-0000-0000-00009A010000}"/>
    <cellStyle name="Porcentual 2 3" xfId="409" xr:uid="{00000000-0005-0000-0000-00009B010000}"/>
    <cellStyle name="Porcentual 2 4" xfId="410" xr:uid="{00000000-0005-0000-0000-00009C010000}"/>
    <cellStyle name="Porcentual 2_ANALISIS COSTOS PORTICOS GRAN TECHO" xfId="411" xr:uid="{00000000-0005-0000-0000-00009D010000}"/>
    <cellStyle name="Porcentual 3" xfId="56" xr:uid="{00000000-0005-0000-0000-00009E010000}"/>
    <cellStyle name="Porcentual 3 10" xfId="412" xr:uid="{00000000-0005-0000-0000-00009F010000}"/>
    <cellStyle name="Porcentual 3 11" xfId="413" xr:uid="{00000000-0005-0000-0000-0000A0010000}"/>
    <cellStyle name="Porcentual 3 12" xfId="414" xr:uid="{00000000-0005-0000-0000-0000A1010000}"/>
    <cellStyle name="Porcentual 3 13" xfId="415" xr:uid="{00000000-0005-0000-0000-0000A2010000}"/>
    <cellStyle name="Porcentual 3 14" xfId="416" xr:uid="{00000000-0005-0000-0000-0000A3010000}"/>
    <cellStyle name="Porcentual 3 15" xfId="417" xr:uid="{00000000-0005-0000-0000-0000A4010000}"/>
    <cellStyle name="Porcentual 3 2" xfId="144" xr:uid="{00000000-0005-0000-0000-0000A5010000}"/>
    <cellStyle name="Porcentual 3 3" xfId="418" xr:uid="{00000000-0005-0000-0000-0000A6010000}"/>
    <cellStyle name="Porcentual 3 4" xfId="419" xr:uid="{00000000-0005-0000-0000-0000A7010000}"/>
    <cellStyle name="Porcentual 3 5" xfId="420" xr:uid="{00000000-0005-0000-0000-0000A8010000}"/>
    <cellStyle name="Porcentual 3 6" xfId="421" xr:uid="{00000000-0005-0000-0000-0000A9010000}"/>
    <cellStyle name="Porcentual 3 7" xfId="422" xr:uid="{00000000-0005-0000-0000-0000AA010000}"/>
    <cellStyle name="Porcentual 3 8" xfId="423" xr:uid="{00000000-0005-0000-0000-0000AB010000}"/>
    <cellStyle name="Porcentual 3 9" xfId="424" xr:uid="{00000000-0005-0000-0000-0000AC010000}"/>
    <cellStyle name="Porcentual 4" xfId="425" xr:uid="{00000000-0005-0000-0000-0000AD010000}"/>
    <cellStyle name="Porcentual 5" xfId="426" xr:uid="{00000000-0005-0000-0000-0000AE010000}"/>
    <cellStyle name="Porcentual 5 2" xfId="427" xr:uid="{00000000-0005-0000-0000-0000AF010000}"/>
    <cellStyle name="Porcentual 5 2 2" xfId="428" xr:uid="{00000000-0005-0000-0000-0000B0010000}"/>
    <cellStyle name="Porcentual 6" xfId="429" xr:uid="{00000000-0005-0000-0000-0000B1010000}"/>
    <cellStyle name="Porcentual 7" xfId="430" xr:uid="{00000000-0005-0000-0000-0000B2010000}"/>
    <cellStyle name="Porcentual 8" xfId="431" xr:uid="{00000000-0005-0000-0000-0000B3010000}"/>
    <cellStyle name="Porcentual 9" xfId="432" xr:uid="{00000000-0005-0000-0000-0000B4010000}"/>
    <cellStyle name="Salida 2" xfId="433" xr:uid="{00000000-0005-0000-0000-0000B5010000}"/>
    <cellStyle name="Salida 3" xfId="434" xr:uid="{00000000-0005-0000-0000-0000B6010000}"/>
    <cellStyle name="Salida 4" xfId="435" xr:uid="{00000000-0005-0000-0000-0000B7010000}"/>
    <cellStyle name="Sheet Title" xfId="436" xr:uid="{00000000-0005-0000-0000-0000B8010000}"/>
    <cellStyle name="Texto de advertencia" xfId="44" xr:uid="{00000000-0005-0000-0000-0000B9010000}"/>
    <cellStyle name="Texto de advertencia 2" xfId="437" xr:uid="{00000000-0005-0000-0000-0000BA010000}"/>
    <cellStyle name="Texto de advertencia 3" xfId="438" xr:uid="{00000000-0005-0000-0000-0000BB010000}"/>
    <cellStyle name="Texto de advertencia 4" xfId="439" xr:uid="{00000000-0005-0000-0000-0000BC010000}"/>
    <cellStyle name="Texto explicativo 2" xfId="440" xr:uid="{00000000-0005-0000-0000-0000BD010000}"/>
    <cellStyle name="Texto explicativo 3" xfId="441" xr:uid="{00000000-0005-0000-0000-0000BE010000}"/>
    <cellStyle name="Texto explicativo 4" xfId="442" xr:uid="{00000000-0005-0000-0000-0000BF010000}"/>
    <cellStyle name="Title" xfId="101" xr:uid="{00000000-0005-0000-0000-0000C0010000}"/>
    <cellStyle name="Título 1 2" xfId="443" xr:uid="{00000000-0005-0000-0000-0000C1010000}"/>
    <cellStyle name="Título 1 3" xfId="444" xr:uid="{00000000-0005-0000-0000-0000C2010000}"/>
    <cellStyle name="Título 1 4" xfId="445" xr:uid="{00000000-0005-0000-0000-0000C3010000}"/>
    <cellStyle name="Título 2 2" xfId="446" xr:uid="{00000000-0005-0000-0000-0000C4010000}"/>
    <cellStyle name="Título 2 3" xfId="447" xr:uid="{00000000-0005-0000-0000-0000C5010000}"/>
    <cellStyle name="Título 2 4" xfId="448" xr:uid="{00000000-0005-0000-0000-0000C6010000}"/>
    <cellStyle name="Título 3 2" xfId="449" xr:uid="{00000000-0005-0000-0000-0000C7010000}"/>
    <cellStyle name="Título 3 3" xfId="450" xr:uid="{00000000-0005-0000-0000-0000C8010000}"/>
    <cellStyle name="Título 3 4" xfId="451" xr:uid="{00000000-0005-0000-0000-0000C9010000}"/>
    <cellStyle name="Título 4" xfId="452" xr:uid="{00000000-0005-0000-0000-0000CA010000}"/>
    <cellStyle name="Título 5" xfId="453" xr:uid="{00000000-0005-0000-0000-0000CB010000}"/>
    <cellStyle name="Título 6" xfId="454" xr:uid="{00000000-0005-0000-0000-0000CC010000}"/>
    <cellStyle name="Título de hoja" xfId="455" xr:uid="{00000000-0005-0000-0000-0000CD010000}"/>
    <cellStyle name="Total 2" xfId="456" xr:uid="{00000000-0005-0000-0000-0000CE010000}"/>
    <cellStyle name="Total 3" xfId="457" xr:uid="{00000000-0005-0000-0000-0000CF010000}"/>
    <cellStyle name="Total 4" xfId="458" xr:uid="{00000000-0005-0000-0000-0000D0010000}"/>
    <cellStyle name="Währung" xfId="459" xr:uid="{00000000-0005-0000-0000-0000D1010000}"/>
    <cellStyle name="Warning Text" xfId="102" xr:uid="{00000000-0005-0000-0000-0000D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6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externalLink" Target="externalLinks/externalLink6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6</xdr:row>
      <xdr:rowOff>158749</xdr:rowOff>
    </xdr:from>
    <xdr:to>
      <xdr:col>1</xdr:col>
      <xdr:colOff>2968625</xdr:colOff>
      <xdr:row>14</xdr:row>
      <xdr:rowOff>47624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111249"/>
          <a:ext cx="1778000" cy="11588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174625</xdr:colOff>
      <xdr:row>17</xdr:row>
      <xdr:rowOff>238125</xdr:rowOff>
    </xdr:from>
    <xdr:to>
      <xdr:col>1</xdr:col>
      <xdr:colOff>2238375</xdr:colOff>
      <xdr:row>25</xdr:row>
      <xdr:rowOff>134663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3571875"/>
          <a:ext cx="2730500" cy="2071413"/>
        </a:xfrm>
        <a:prstGeom prst="rect">
          <a:avLst/>
        </a:prstGeom>
      </xdr:spPr>
    </xdr:pic>
    <xdr:clientData/>
  </xdr:twoCellAnchor>
  <xdr:twoCellAnchor editAs="oneCell">
    <xdr:from>
      <xdr:col>1</xdr:col>
      <xdr:colOff>1598083</xdr:colOff>
      <xdr:row>26</xdr:row>
      <xdr:rowOff>31749</xdr:rowOff>
    </xdr:from>
    <xdr:to>
      <xdr:col>2</xdr:col>
      <xdr:colOff>269876</xdr:colOff>
      <xdr:row>32</xdr:row>
      <xdr:rowOff>1031874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4833" y="5730874"/>
          <a:ext cx="2656418" cy="2301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1476375</xdr:colOff>
      <xdr:row>36</xdr:row>
      <xdr:rowOff>338666</xdr:rowOff>
    </xdr:to>
    <xdr:sp macro="" textlink="">
      <xdr:nvSpPr>
        <xdr:cNvPr id="19457" name="AutoShape 1" descr="Ayuntamiento Municipal De Enriquillo">
          <a:extLst>
            <a:ext uri="{FF2B5EF4-FFF2-40B4-BE49-F238E27FC236}">
              <a16:creationId xmlns:a16="http://schemas.microsoft.com/office/drawing/2014/main" id="{00000000-0008-0000-0900-0000014C0000}"/>
            </a:ext>
          </a:extLst>
        </xdr:cNvPr>
        <xdr:cNvSpPr>
          <a:spLocks noChangeAspect="1" noChangeArrowheads="1"/>
        </xdr:cNvSpPr>
      </xdr:nvSpPr>
      <xdr:spPr bwMode="auto">
        <a:xfrm>
          <a:off x="1066800" y="6448425"/>
          <a:ext cx="1476375" cy="188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8164</xdr:colOff>
      <xdr:row>4</xdr:row>
      <xdr:rowOff>244928</xdr:rowOff>
    </xdr:from>
    <xdr:to>
      <xdr:col>1</xdr:col>
      <xdr:colOff>2680607</xdr:colOff>
      <xdr:row>10</xdr:row>
      <xdr:rowOff>138339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664" y="1605642"/>
          <a:ext cx="2672443" cy="2503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781050</xdr:colOff>
      <xdr:row>0</xdr:row>
      <xdr:rowOff>628649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3825"/>
          <a:ext cx="1323975" cy="504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171450</xdr:rowOff>
    </xdr:from>
    <xdr:to>
      <xdr:col>1</xdr:col>
      <xdr:colOff>952500</xdr:colOff>
      <xdr:row>0</xdr:row>
      <xdr:rowOff>676274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1450"/>
          <a:ext cx="1323975" cy="504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567194</xdr:colOff>
      <xdr:row>0</xdr:row>
      <xdr:rowOff>504824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5048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564115</xdr:colOff>
      <xdr:row>0</xdr:row>
      <xdr:rowOff>504824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504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0</xdr:row>
      <xdr:rowOff>504824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3975" cy="5048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79375</xdr:rowOff>
    </xdr:from>
    <xdr:to>
      <xdr:col>1</xdr:col>
      <xdr:colOff>609600</xdr:colOff>
      <xdr:row>0</xdr:row>
      <xdr:rowOff>584199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9375"/>
          <a:ext cx="1323975" cy="5048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107324</xdr:rowOff>
    </xdr:from>
    <xdr:to>
      <xdr:col>1</xdr:col>
      <xdr:colOff>451968</xdr:colOff>
      <xdr:row>0</xdr:row>
      <xdr:rowOff>612148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324"/>
          <a:ext cx="1323975" cy="5048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0</xdr:col>
      <xdr:colOff>1323975</xdr:colOff>
      <xdr:row>1</xdr:row>
      <xdr:rowOff>571499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323975" cy="5048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ero%20Estrella/Cotizacion/2010/Proyectos%20Tipo%20A/REMODELACION%20AILA%202010/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asifres\Documents\My%20Documents\MORMONES\Presupuesto%20General%20Hainamosa(Prop.%20Final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EFA38810" TargetMode="External"/><Relationship Id="rId1" Type="http://schemas.openxmlformats.org/officeDocument/2006/relationships/externalLinkPath" Target="file:///\\EFA38810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ACKUP%20JULIO/wandel/escritorio%201/PRESUPUESTOS/Peravia/Salinas/PRESUPUESTO%20viviend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.ARQUITECTURA5/My%20Documents/macm/PRE,DESVIO,%20ALCANTARILLADOS%20Y%20POTABLE%20LADO%20ESTE%20P.%20LIVIO%20C%20-%20Av/PRE,DESVIO,%20ALC.%20Y%20POT.%20LADO%20OESTE%20P.%20LIVIO%20C%20-%20A.%20FLEMI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das%20Electricas%20Terminaci&#243;n%20Construcci&#243;n%20Albergue%20Ni&#241;os%20Huerfanos%20de%20Moc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PROYECTOS/MONICA%20PROYECTOS%20COMP%20AYUNTAMIENTO/Presupuesto_Torre__KEVANY(1)%20mech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-pc/Downloads/2012%2012Dic%2001%20txt%2011va%20Edic,%20CUADRILLAS..simo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is%20Mota/My%20Documents/Arq.%20Fajar/CDE/Planos/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Users/yanel/Documents/PERSONALTRABAJOS/CUPIDO/PROYECTO%20MICHEL%20MARIE/PRESUPUESTO%20RESIDENCIAL%20MICHELLE%20MARIE%20modif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Mechy/Mechy%20Proyectos/Presupuesto_Torre__KEVANY(1)(1)_ultimas_correciones_yram(1)_correciones_yunior(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~1/AppData/Local/Temp/_PA302/2012%20Nueva%20Edic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Users/YANEL/Documents/PERSONALTRABAJOS/elizabeth%20concepcion/Presupuesto_proyecto_johanna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76A22266" TargetMode="External"/><Relationship Id="rId1" Type="http://schemas.openxmlformats.org/officeDocument/2006/relationships/externalLinkPath" Target="file:///\\76A22266\PRESUPUESTO_FEDOSA_14NOV2005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PROYECTOS/TORRE%20KEYANI/PRESUPTORRE%20KEV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LICITACION%20VILLAS%20TIPO%20PRESIDENCIAL%20BISONO/Villa%20%20Presidencial4,5,6%20BISONO-ultimo%20DEFINITIV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sumos"/>
      <sheetName val="Mano de Obra"/>
      <sheetName val="Analisis"/>
      <sheetName val="Presupuesto"/>
      <sheetName val="Volumetria"/>
      <sheetName val="Cuntificaciones"/>
      <sheetName val="Resumen Acero"/>
      <sheetName val="Zapatas"/>
      <sheetName val="Columnas"/>
      <sheetName val="Vigas"/>
      <sheetName val="Losas&amp;Muros"/>
      <sheetName val="Estructura Metalica"/>
      <sheetName val="Mov. Tierra"/>
      <sheetName val="Ebanisteria"/>
      <sheetName val="Parqueo"/>
      <sheetName val="sANITARIO"/>
      <sheetName val="Puertas Aluminio"/>
      <sheetName val="Tablas Referenci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K5">
            <v>1</v>
          </cell>
        </row>
      </sheetData>
      <sheetData sheetId="13" refreshError="1"/>
      <sheetData sheetId="14">
        <row r="4">
          <cell r="L4">
            <v>0.9</v>
          </cell>
        </row>
      </sheetData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Analisis de Costos Aceras"/>
      <sheetName val="CAMPAMENTO2"/>
      <sheetName val="ingenieria"/>
      <sheetName val="MANT.TRANSI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Estado_Financiero"/>
      <sheetName val="R_Precios_Ajustado_"/>
      <sheetName val="anal_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>
        <row r="1512">
          <cell r="G1512">
            <v>3526.1216021874998</v>
          </cell>
        </row>
      </sheetData>
      <sheetData sheetId="37"/>
      <sheetData sheetId="38"/>
      <sheetData sheetId="39"/>
      <sheetData sheetId="40"/>
      <sheetData sheetId="41"/>
      <sheetData sheetId="42">
        <row r="1512">
          <cell r="G1512">
            <v>3526.1216021874998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</sheetNames>
    <sheetDataSet>
      <sheetData sheetId="0">
        <row r="13">
          <cell r="I13">
            <v>5208.2</v>
          </cell>
        </row>
      </sheetData>
      <sheetData sheetId="1"/>
      <sheetData sheetId="2"/>
      <sheetData sheetId="3"/>
      <sheetData sheetId="4"/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Presup."/>
      <sheetName val="EDIFICIO COUNTER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ograma_de_Trabajo"/>
      <sheetName val="Uso_de_Equipos"/>
      <sheetName val="PRECIOS_ELE"/>
      <sheetName val="Trabajos Generale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19">
          <cell r="E419">
            <v>216</v>
          </cell>
        </row>
      </sheetData>
      <sheetData sheetId="2">
        <row r="26">
          <cell r="E26">
            <v>131160.01</v>
          </cell>
        </row>
        <row r="152">
          <cell r="E152">
            <v>131250</v>
          </cell>
        </row>
      </sheetData>
      <sheetData sheetId="3"/>
      <sheetData sheetId="4"/>
      <sheetData sheetId="5"/>
      <sheetData sheetId="6">
        <row r="452">
          <cell r="M452">
            <v>1993.29</v>
          </cell>
        </row>
        <row r="5100">
          <cell r="M5100">
            <v>1303.49</v>
          </cell>
        </row>
      </sheetData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Estado_Financiero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PRESENTACION_(2)"/>
      <sheetName val="PRESUPUESTO_(2)"/>
      <sheetName val="P_U__Const"/>
      <sheetName val="COSTO INDIRECTO"/>
      <sheetName val="OPERADORES 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APROB__SEOPC"/>
      <sheetName val="APROB__SEOPC_(2)"/>
      <sheetName val="PASARELA_OZORIA"/>
      <sheetName val="TUNEL_CHARLES"/>
      <sheetName val="Pasarela_de_L=60_00"/>
      <sheetName val="cotiz_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_pintura"/>
      <sheetName val="M_O_instalacion"/>
      <sheetName val="M_O_Fabricacion"/>
      <sheetName val="Ana_precios_un"/>
      <sheetName val="Analisis_pit_office"/>
      <sheetName val="Ana_esc__emergencia"/>
      <sheetName val="Peso_techo"/>
      <sheetName val="Ana_baranda"/>
      <sheetName val="Peso_Escalera"/>
      <sheetName val="BAR__ESC__EMERG__PIT_OFFICE"/>
      <sheetName val="ESC__EMERG__PIT_OFFICE_(2)"/>
      <sheetName val="TECHO_PIT_OFFICE"/>
      <sheetName val="Analisis_de_precios_PIT_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resupuesto_general_metalico"/>
      <sheetName val="Presupuesto_general"/>
      <sheetName val="propuesta_"/>
      <sheetName val="M_O_instalacion"/>
      <sheetName val="M_O_Fabricacion"/>
      <sheetName val="_pintura"/>
      <sheetName val="peso_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41"/>
  <sheetViews>
    <sheetView showGridLines="0" view="pageBreakPreview" topLeftCell="A17" zoomScale="60" zoomScaleNormal="60" workbookViewId="0">
      <selection activeCell="F26" sqref="F26"/>
    </sheetView>
  </sheetViews>
  <sheetFormatPr defaultColWidth="11.5546875" defaultRowHeight="13.2"/>
  <cols>
    <col min="1" max="1" width="10" style="245" customWidth="1"/>
    <col min="2" max="2" width="59.6640625" style="246" customWidth="1"/>
    <col min="3" max="3" width="12.88671875" style="246" customWidth="1"/>
    <col min="4" max="4" width="16.33203125" style="241" customWidth="1"/>
    <col min="5" max="16384" width="11.5546875" style="241"/>
  </cols>
  <sheetData>
    <row r="3" spans="1:3" ht="13.8" thickBot="1"/>
    <row r="4" spans="1:3" ht="13.8" thickTop="1">
      <c r="A4" s="257"/>
      <c r="B4" s="258"/>
      <c r="C4" s="259"/>
    </row>
    <row r="5" spans="1:3">
      <c r="A5" s="260"/>
      <c r="B5" s="261"/>
      <c r="C5" s="262"/>
    </row>
    <row r="6" spans="1:3">
      <c r="A6" s="260"/>
      <c r="B6" s="261"/>
      <c r="C6" s="262"/>
    </row>
    <row r="7" spans="1:3">
      <c r="A7" s="260"/>
      <c r="B7" s="261"/>
      <c r="C7" s="262"/>
    </row>
    <row r="8" spans="1:3">
      <c r="A8" s="260"/>
      <c r="B8" s="261"/>
      <c r="C8" s="262"/>
    </row>
    <row r="9" spans="1:3">
      <c r="A9" s="260"/>
      <c r="B9" s="261"/>
      <c r="C9" s="262"/>
    </row>
    <row r="10" spans="1:3">
      <c r="A10" s="260"/>
      <c r="B10" s="261"/>
      <c r="C10" s="262"/>
    </row>
    <row r="11" spans="1:3">
      <c r="A11" s="260"/>
      <c r="B11" s="261"/>
      <c r="C11" s="262"/>
    </row>
    <row r="12" spans="1:3">
      <c r="A12" s="260"/>
      <c r="B12" s="261"/>
      <c r="C12" s="262"/>
    </row>
    <row r="13" spans="1:3">
      <c r="A13" s="260"/>
      <c r="B13" s="261"/>
      <c r="C13" s="262"/>
    </row>
    <row r="14" spans="1:3">
      <c r="A14" s="260"/>
      <c r="B14" s="261"/>
      <c r="C14" s="262"/>
    </row>
    <row r="15" spans="1:3">
      <c r="A15" s="260"/>
      <c r="B15" s="261"/>
      <c r="C15" s="262"/>
    </row>
    <row r="16" spans="1:3" ht="13.8" thickBot="1">
      <c r="A16" s="260"/>
      <c r="B16" s="261"/>
      <c r="C16" s="262"/>
    </row>
    <row r="17" spans="1:3" s="240" customFormat="1" ht="59.25" customHeight="1" thickBot="1">
      <c r="A17" s="442" t="s">
        <v>1111</v>
      </c>
      <c r="B17" s="443"/>
      <c r="C17" s="444"/>
    </row>
    <row r="18" spans="1:3" s="240" customFormat="1" ht="20.25" customHeight="1">
      <c r="A18" s="274"/>
      <c r="B18" s="275"/>
      <c r="C18" s="276"/>
    </row>
    <row r="19" spans="1:3" s="240" customFormat="1" ht="20.25" customHeight="1">
      <c r="A19" s="277"/>
      <c r="B19" s="264"/>
      <c r="C19" s="278"/>
    </row>
    <row r="20" spans="1:3" s="240" customFormat="1" ht="20.25" customHeight="1">
      <c r="A20" s="277"/>
      <c r="B20" s="264"/>
      <c r="C20" s="278"/>
    </row>
    <row r="21" spans="1:3" ht="19.8">
      <c r="A21" s="279"/>
      <c r="B21" s="265"/>
      <c r="C21" s="280"/>
    </row>
    <row r="22" spans="1:3" s="240" customFormat="1" ht="39" customHeight="1">
      <c r="A22" s="277"/>
      <c r="B22" s="263"/>
      <c r="C22" s="278"/>
    </row>
    <row r="23" spans="1:3" ht="19.8">
      <c r="A23" s="279"/>
      <c r="B23" s="264"/>
      <c r="C23" s="281"/>
    </row>
    <row r="24" spans="1:3" s="242" customFormat="1" ht="17.399999999999999">
      <c r="A24" s="282"/>
      <c r="B24" s="266"/>
      <c r="C24" s="283"/>
    </row>
    <row r="25" spans="1:3" s="242" customFormat="1" ht="15" customHeight="1">
      <c r="A25" s="282"/>
      <c r="B25" s="267"/>
      <c r="C25" s="283"/>
    </row>
    <row r="26" spans="1:3" s="242" customFormat="1" ht="15" customHeight="1">
      <c r="A26" s="282"/>
      <c r="B26" s="267"/>
      <c r="C26" s="283"/>
    </row>
    <row r="27" spans="1:3" s="242" customFormat="1" ht="15" customHeight="1">
      <c r="A27" s="282"/>
      <c r="B27" s="268"/>
      <c r="C27" s="284"/>
    </row>
    <row r="28" spans="1:3" s="243" customFormat="1" ht="18" customHeight="1">
      <c r="A28" s="285"/>
      <c r="B28" s="269"/>
      <c r="C28" s="286"/>
    </row>
    <row r="29" spans="1:3" s="243" customFormat="1" ht="18" customHeight="1">
      <c r="A29" s="285"/>
      <c r="B29" s="269"/>
      <c r="C29" s="286"/>
    </row>
    <row r="30" spans="1:3" s="243" customFormat="1" ht="18" customHeight="1">
      <c r="A30" s="285"/>
      <c r="B30" s="269"/>
      <c r="C30" s="286"/>
    </row>
    <row r="31" spans="1:3" s="243" customFormat="1" ht="18" customHeight="1">
      <c r="A31" s="285"/>
      <c r="B31" s="269"/>
      <c r="C31" s="286"/>
    </row>
    <row r="32" spans="1:3" s="243" customFormat="1" ht="18" customHeight="1">
      <c r="A32" s="285"/>
      <c r="B32" s="269"/>
      <c r="C32" s="286"/>
    </row>
    <row r="33" spans="1:3" s="244" customFormat="1" ht="90" customHeight="1">
      <c r="A33" s="287"/>
      <c r="B33" s="270"/>
      <c r="C33" s="288"/>
    </row>
    <row r="34" spans="1:3" s="244" customFormat="1" ht="16.5" customHeight="1" thickBot="1">
      <c r="A34" s="287"/>
      <c r="B34" s="270"/>
      <c r="C34" s="288"/>
    </row>
    <row r="35" spans="1:3" ht="16.8" thickBot="1">
      <c r="A35" s="279"/>
      <c r="B35" s="250" t="s">
        <v>1113</v>
      </c>
      <c r="C35" s="280"/>
    </row>
    <row r="36" spans="1:3" ht="29.25" customHeight="1" thickBot="1">
      <c r="A36" s="279"/>
      <c r="B36" s="250" t="s">
        <v>1112</v>
      </c>
      <c r="C36" s="289"/>
    </row>
    <row r="37" spans="1:3" ht="17.25" customHeight="1" thickBot="1">
      <c r="A37" s="290"/>
      <c r="B37" s="291"/>
      <c r="C37" s="292"/>
    </row>
    <row r="38" spans="1:3" ht="17.25" customHeight="1" thickBot="1">
      <c r="A38" s="271"/>
      <c r="B38" s="272"/>
      <c r="C38" s="273"/>
    </row>
    <row r="39" spans="1:3" ht="17.25" customHeight="1" thickTop="1">
      <c r="A39" s="247"/>
      <c r="C39" s="249"/>
    </row>
    <row r="40" spans="1:3" ht="17.25" customHeight="1">
      <c r="A40" s="248"/>
      <c r="C40" s="249"/>
    </row>
    <row r="41" spans="1:3" ht="17.25" customHeight="1">
      <c r="A41" s="247"/>
      <c r="C41" s="249"/>
    </row>
  </sheetData>
  <mergeCells count="1">
    <mergeCell ref="A17:C17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C295"/>
  <sheetViews>
    <sheetView tabSelected="1" view="pageBreakPreview" zoomScale="60" zoomScaleNormal="70" workbookViewId="0">
      <selection activeCell="F1" sqref="F1"/>
    </sheetView>
  </sheetViews>
  <sheetFormatPr defaultColWidth="11.44140625" defaultRowHeight="24" customHeight="1"/>
  <cols>
    <col min="1" max="1" width="8.5546875" style="299" customWidth="1"/>
    <col min="2" max="2" width="116.109375" style="319" customWidth="1"/>
    <col min="3" max="3" width="33.109375" style="314" customWidth="1"/>
    <col min="4" max="4" width="8.88671875" style="303" customWidth="1"/>
    <col min="5" max="5" width="25.88671875" style="300" customWidth="1"/>
    <col min="6" max="6" width="32.5546875" style="300" customWidth="1"/>
    <col min="7" max="7" width="31.6640625" style="301" customWidth="1"/>
    <col min="8" max="8" width="15.44140625" style="302" bestFit="1" customWidth="1"/>
    <col min="9" max="9" width="14.44140625" style="302" bestFit="1" customWidth="1"/>
    <col min="10" max="16384" width="11.44140625" style="302"/>
  </cols>
  <sheetData>
    <row r="1" spans="1:7" ht="26.25" customHeight="1"/>
    <row r="2" spans="1:7" ht="26.25" customHeight="1"/>
    <row r="3" spans="1:7" ht="26.25" customHeight="1"/>
    <row r="4" spans="1:7" ht="26.25" customHeight="1"/>
    <row r="5" spans="1:7" ht="39" customHeight="1">
      <c r="A5" s="330"/>
      <c r="B5" s="331" t="s">
        <v>1160</v>
      </c>
      <c r="C5" s="331"/>
      <c r="D5" s="331"/>
      <c r="E5" s="332"/>
      <c r="F5" s="332"/>
      <c r="G5" s="333"/>
    </row>
    <row r="6" spans="1:7" ht="43.5" customHeight="1">
      <c r="A6" s="330"/>
      <c r="B6" s="334" t="s">
        <v>1158</v>
      </c>
      <c r="C6" s="334"/>
      <c r="D6" s="335"/>
      <c r="E6" s="332"/>
      <c r="F6" s="332"/>
      <c r="G6" s="332"/>
    </row>
    <row r="7" spans="1:7" ht="41.25" customHeight="1">
      <c r="A7" s="330"/>
      <c r="B7" s="462" t="s">
        <v>1159</v>
      </c>
      <c r="C7" s="462"/>
      <c r="D7" s="462"/>
      <c r="E7" s="462"/>
      <c r="F7" s="462"/>
      <c r="G7" s="462"/>
    </row>
    <row r="8" spans="1:7" ht="26.25" customHeight="1">
      <c r="A8" s="330"/>
      <c r="B8" s="336"/>
      <c r="C8" s="337"/>
      <c r="D8" s="335"/>
      <c r="E8" s="332"/>
      <c r="F8" s="332"/>
      <c r="G8" s="333"/>
    </row>
    <row r="9" spans="1:7" s="304" customFormat="1" ht="26.25" customHeight="1">
      <c r="A9" s="464"/>
      <c r="B9" s="464"/>
      <c r="C9" s="464"/>
      <c r="D9" s="464"/>
      <c r="E9" s="464"/>
      <c r="F9" s="338"/>
      <c r="G9" s="339"/>
    </row>
    <row r="10" spans="1:7" s="304" customFormat="1" ht="26.25" customHeight="1">
      <c r="A10" s="340"/>
      <c r="B10" s="340"/>
      <c r="C10" s="341"/>
      <c r="D10" s="342"/>
      <c r="E10" s="338"/>
      <c r="F10" s="338"/>
      <c r="G10" s="339"/>
    </row>
    <row r="11" spans="1:7" s="304" customFormat="1" ht="26.25" customHeight="1">
      <c r="A11" s="340"/>
      <c r="B11" s="340"/>
      <c r="C11" s="341"/>
      <c r="D11" s="342"/>
      <c r="E11" s="338"/>
      <c r="F11" s="338"/>
      <c r="G11" s="339"/>
    </row>
    <row r="12" spans="1:7" ht="26.25" customHeight="1">
      <c r="A12" s="343"/>
      <c r="B12" s="465"/>
      <c r="C12" s="465"/>
      <c r="D12" s="465"/>
      <c r="E12" s="465"/>
      <c r="F12" s="344"/>
      <c r="G12" s="339"/>
    </row>
    <row r="13" spans="1:7" s="304" customFormat="1" ht="37.5" customHeight="1">
      <c r="A13" s="463" t="s">
        <v>1153</v>
      </c>
      <c r="B13" s="463"/>
      <c r="C13" s="463"/>
      <c r="D13" s="463"/>
      <c r="E13" s="463"/>
      <c r="F13" s="463"/>
      <c r="G13" s="463"/>
    </row>
    <row r="14" spans="1:7" s="304" customFormat="1" ht="42.75" customHeight="1">
      <c r="A14" s="463" t="s">
        <v>1154</v>
      </c>
      <c r="B14" s="463"/>
      <c r="C14" s="463"/>
      <c r="D14" s="463"/>
      <c r="E14" s="463"/>
      <c r="F14" s="463"/>
      <c r="G14" s="463"/>
    </row>
    <row r="15" spans="1:7" s="304" customFormat="1" ht="45" customHeight="1">
      <c r="A15" s="463" t="s">
        <v>1157</v>
      </c>
      <c r="B15" s="463"/>
      <c r="C15" s="463"/>
      <c r="D15" s="463"/>
      <c r="E15" s="463"/>
      <c r="F15" s="463"/>
      <c r="G15" s="463"/>
    </row>
    <row r="16" spans="1:7" ht="26.25" customHeight="1" thickBot="1">
      <c r="A16" s="305"/>
      <c r="B16" s="306"/>
      <c r="C16" s="307"/>
      <c r="D16" s="308"/>
      <c r="E16" s="309"/>
      <c r="F16" s="309"/>
      <c r="G16" s="310"/>
    </row>
    <row r="17" spans="1:7" s="311" customFormat="1" ht="43.5" customHeight="1" thickBot="1">
      <c r="A17" s="345" t="s">
        <v>1114</v>
      </c>
      <c r="B17" s="346" t="s">
        <v>1115</v>
      </c>
      <c r="C17" s="347" t="s">
        <v>59</v>
      </c>
      <c r="D17" s="348" t="s">
        <v>58</v>
      </c>
      <c r="E17" s="349" t="s">
        <v>320</v>
      </c>
      <c r="F17" s="349" t="s">
        <v>61</v>
      </c>
      <c r="G17" s="350" t="s">
        <v>287</v>
      </c>
    </row>
    <row r="18" spans="1:7" s="312" customFormat="1" ht="26.25" customHeight="1">
      <c r="A18" s="351"/>
      <c r="B18" s="352"/>
      <c r="C18" s="353"/>
      <c r="D18" s="354"/>
      <c r="E18" s="355"/>
      <c r="F18" s="355"/>
      <c r="G18" s="356"/>
    </row>
    <row r="19" spans="1:7" s="313" customFormat="1" ht="26.25" customHeight="1">
      <c r="A19" s="357"/>
      <c r="B19" s="358"/>
      <c r="C19" s="359"/>
      <c r="D19" s="360"/>
      <c r="E19" s="361"/>
      <c r="F19" s="361"/>
      <c r="G19" s="362"/>
    </row>
    <row r="20" spans="1:7" s="313" customFormat="1" ht="26.25" customHeight="1">
      <c r="A20" s="357"/>
      <c r="B20" s="363"/>
      <c r="C20" s="359"/>
      <c r="D20" s="360"/>
      <c r="E20" s="361"/>
      <c r="F20" s="361"/>
      <c r="G20" s="362"/>
    </row>
    <row r="21" spans="1:7" s="313" customFormat="1" ht="28.5" customHeight="1">
      <c r="A21" s="364" t="s">
        <v>1116</v>
      </c>
      <c r="B21" s="358" t="s">
        <v>111</v>
      </c>
      <c r="C21" s="365"/>
      <c r="D21" s="365"/>
      <c r="E21" s="365"/>
      <c r="F21" s="365"/>
      <c r="G21" s="362"/>
    </row>
    <row r="22" spans="1:7" s="313" customFormat="1" ht="41.25" customHeight="1">
      <c r="A22" s="357" t="s">
        <v>1119</v>
      </c>
      <c r="B22" s="366" t="s">
        <v>1141</v>
      </c>
      <c r="C22" s="359">
        <f>+(C23*1558.03)/735.3</f>
        <v>2330.794233646131</v>
      </c>
      <c r="D22" s="360" t="s">
        <v>57</v>
      </c>
      <c r="E22" s="367">
        <v>25</v>
      </c>
      <c r="F22" s="361"/>
      <c r="G22" s="365"/>
    </row>
    <row r="23" spans="1:7" s="313" customFormat="1" ht="42.75" customHeight="1">
      <c r="A23" s="357" t="s">
        <v>1117</v>
      </c>
      <c r="B23" s="363" t="s">
        <v>1142</v>
      </c>
      <c r="C23" s="359">
        <v>1100</v>
      </c>
      <c r="D23" s="365" t="s">
        <v>62</v>
      </c>
      <c r="E23" s="367">
        <v>30.5</v>
      </c>
      <c r="F23" s="361"/>
      <c r="G23" s="362"/>
    </row>
    <row r="24" spans="1:7" s="313" customFormat="1" ht="42.75" customHeight="1">
      <c r="A24" s="357" t="s">
        <v>1120</v>
      </c>
      <c r="B24" s="366" t="s">
        <v>1143</v>
      </c>
      <c r="C24" s="359">
        <v>130</v>
      </c>
      <c r="D24" s="365" t="s">
        <v>56</v>
      </c>
      <c r="E24" s="367">
        <v>450</v>
      </c>
      <c r="F24" s="361"/>
      <c r="G24" s="365"/>
    </row>
    <row r="25" spans="1:7" s="313" customFormat="1" ht="39" customHeight="1">
      <c r="A25" s="357" t="s">
        <v>1121</v>
      </c>
      <c r="B25" s="366" t="s">
        <v>1144</v>
      </c>
      <c r="C25" s="368">
        <f>+C24*0.55</f>
        <v>71.5</v>
      </c>
      <c r="D25" s="365" t="s">
        <v>56</v>
      </c>
      <c r="E25" s="367">
        <v>480.78</v>
      </c>
      <c r="F25" s="361"/>
      <c r="G25" s="362"/>
    </row>
    <row r="26" spans="1:7" s="313" customFormat="1" ht="37.5" customHeight="1">
      <c r="A26" s="357"/>
      <c r="B26" s="366"/>
      <c r="C26" s="365"/>
      <c r="D26" s="365"/>
      <c r="E26" s="365"/>
      <c r="F26" s="365"/>
      <c r="G26" s="362">
        <f>SUM(F22:F25)</f>
        <v>0</v>
      </c>
    </row>
    <row r="27" spans="1:7" s="313" customFormat="1" ht="26.25" customHeight="1">
      <c r="A27" s="357"/>
      <c r="B27" s="366"/>
      <c r="C27" s="365"/>
      <c r="D27" s="365"/>
      <c r="E27" s="365"/>
      <c r="F27" s="365"/>
      <c r="G27" s="362"/>
    </row>
    <row r="28" spans="1:7" s="313" customFormat="1" ht="26.25" customHeight="1">
      <c r="A28" s="364" t="s">
        <v>1118</v>
      </c>
      <c r="B28" s="358" t="s">
        <v>64</v>
      </c>
      <c r="C28" s="359"/>
      <c r="D28" s="360"/>
      <c r="E28" s="361"/>
      <c r="F28" s="361"/>
      <c r="G28" s="362"/>
    </row>
    <row r="29" spans="1:7" ht="43.5" customHeight="1">
      <c r="A29" s="357" t="s">
        <v>1119</v>
      </c>
      <c r="B29" s="369" t="s">
        <v>1145</v>
      </c>
      <c r="C29" s="337">
        <v>110</v>
      </c>
      <c r="D29" s="370" t="s">
        <v>56</v>
      </c>
      <c r="E29" s="371">
        <v>1553</v>
      </c>
      <c r="F29" s="361"/>
      <c r="G29" s="333"/>
    </row>
    <row r="30" spans="1:7" s="313" customFormat="1" ht="48.75" customHeight="1">
      <c r="A30" s="357" t="s">
        <v>1117</v>
      </c>
      <c r="B30" s="369" t="s">
        <v>1122</v>
      </c>
      <c r="C30" s="359">
        <v>550</v>
      </c>
      <c r="D30" s="370" t="s">
        <v>56</v>
      </c>
      <c r="E30" s="371">
        <v>152.15</v>
      </c>
      <c r="F30" s="361"/>
    </row>
    <row r="31" spans="1:7" s="313" customFormat="1" ht="58.5" customHeight="1">
      <c r="A31" s="373" t="s">
        <v>1120</v>
      </c>
      <c r="B31" s="374" t="s">
        <v>1146</v>
      </c>
      <c r="C31" s="359">
        <v>460</v>
      </c>
      <c r="D31" s="370" t="s">
        <v>56</v>
      </c>
      <c r="E31" s="371">
        <v>650</v>
      </c>
      <c r="F31" s="361"/>
      <c r="G31" s="375"/>
    </row>
    <row r="32" spans="1:7" s="313" customFormat="1" ht="26.25" customHeight="1">
      <c r="A32" s="357"/>
      <c r="B32" s="365"/>
      <c r="C32" s="359"/>
      <c r="D32" s="360"/>
      <c r="E32" s="361"/>
      <c r="F32" s="361"/>
      <c r="G32" s="372"/>
    </row>
    <row r="33" spans="1:11" s="313" customFormat="1" ht="26.25" customHeight="1">
      <c r="A33" s="357"/>
      <c r="B33" s="376"/>
      <c r="C33" s="359"/>
      <c r="D33" s="370"/>
      <c r="E33" s="371"/>
      <c r="F33" s="361"/>
      <c r="G33" s="365"/>
    </row>
    <row r="34" spans="1:11" s="313" customFormat="1" ht="39" customHeight="1">
      <c r="A34" s="357"/>
      <c r="B34" s="377"/>
      <c r="C34" s="378"/>
      <c r="D34" s="365"/>
      <c r="E34" s="365"/>
      <c r="F34" s="365"/>
      <c r="G34" s="372">
        <f>SUM(F29:F31)</f>
        <v>0</v>
      </c>
    </row>
    <row r="35" spans="1:11" s="313" customFormat="1" ht="26.25" customHeight="1">
      <c r="A35" s="357"/>
      <c r="B35" s="377"/>
      <c r="C35" s="378"/>
      <c r="D35" s="365"/>
      <c r="E35" s="365"/>
      <c r="F35" s="365"/>
      <c r="G35" s="372"/>
    </row>
    <row r="36" spans="1:11" s="313" customFormat="1" ht="26.25" customHeight="1">
      <c r="A36" s="364" t="s">
        <v>1123</v>
      </c>
      <c r="B36" s="358" t="s">
        <v>1147</v>
      </c>
      <c r="C36" s="359"/>
      <c r="D36" s="360"/>
      <c r="E36" s="361"/>
      <c r="F36" s="361"/>
      <c r="G36" s="362"/>
    </row>
    <row r="37" spans="1:11" s="313" customFormat="1" ht="48.75" customHeight="1">
      <c r="A37" s="357" t="s">
        <v>1119</v>
      </c>
      <c r="B37" s="379" t="s">
        <v>1148</v>
      </c>
      <c r="C37" s="380">
        <v>1100</v>
      </c>
      <c r="D37" s="381" t="s">
        <v>62</v>
      </c>
      <c r="E37" s="375">
        <v>1102.9326096000002</v>
      </c>
      <c r="F37" s="375"/>
      <c r="G37" s="375"/>
    </row>
    <row r="38" spans="1:11" s="313" customFormat="1" ht="50.25" customHeight="1">
      <c r="A38" s="357" t="s">
        <v>1117</v>
      </c>
      <c r="B38" s="379" t="s">
        <v>1149</v>
      </c>
      <c r="C38" s="380">
        <v>1100</v>
      </c>
      <c r="D38" s="381" t="s">
        <v>57</v>
      </c>
      <c r="E38" s="375">
        <v>1086.9260039999999</v>
      </c>
      <c r="F38" s="375"/>
      <c r="G38" s="375"/>
    </row>
    <row r="39" spans="1:11" s="315" customFormat="1" ht="37.5" customHeight="1">
      <c r="A39" s="373" t="s">
        <v>1120</v>
      </c>
      <c r="B39" s="379" t="s">
        <v>1150</v>
      </c>
      <c r="C39" s="380">
        <v>7.9</v>
      </c>
      <c r="D39" s="381" t="s">
        <v>56</v>
      </c>
      <c r="E39" s="375">
        <v>5534.87</v>
      </c>
      <c r="F39" s="375"/>
      <c r="G39" s="333"/>
      <c r="H39" s="313"/>
      <c r="I39" s="313"/>
      <c r="J39" s="313"/>
      <c r="K39" s="313"/>
    </row>
    <row r="40" spans="1:11" s="315" customFormat="1" ht="42.75" customHeight="1">
      <c r="A40" s="357"/>
      <c r="B40" s="379"/>
      <c r="C40" s="380"/>
      <c r="D40" s="381"/>
      <c r="E40" s="375"/>
      <c r="F40" s="375"/>
      <c r="G40" s="382">
        <f>SUM(F37:F40)</f>
        <v>0</v>
      </c>
    </row>
    <row r="41" spans="1:11" s="315" customFormat="1" ht="26.25" customHeight="1">
      <c r="A41" s="357"/>
      <c r="B41" s="379"/>
      <c r="C41" s="380"/>
      <c r="D41" s="381"/>
      <c r="E41" s="375"/>
      <c r="F41" s="375"/>
      <c r="G41" s="382"/>
    </row>
    <row r="42" spans="1:11" s="315" customFormat="1" ht="26.25" customHeight="1">
      <c r="A42" s="383" t="s">
        <v>1116</v>
      </c>
      <c r="B42" s="384" t="s">
        <v>1124</v>
      </c>
      <c r="C42" s="359"/>
      <c r="D42" s="370"/>
      <c r="E42" s="371"/>
      <c r="F42" s="361"/>
      <c r="G42" s="372"/>
    </row>
    <row r="43" spans="1:11" s="315" customFormat="1" ht="50.25" customHeight="1">
      <c r="A43" s="357" t="s">
        <v>1119</v>
      </c>
      <c r="B43" s="369" t="s">
        <v>1125</v>
      </c>
      <c r="C43" s="359">
        <v>1</v>
      </c>
      <c r="D43" s="370" t="s">
        <v>136</v>
      </c>
      <c r="E43" s="371">
        <v>33300</v>
      </c>
      <c r="F43" s="361"/>
      <c r="G43" s="375"/>
    </row>
    <row r="44" spans="1:11" s="315" customFormat="1" ht="33.75" customHeight="1">
      <c r="A44" s="385"/>
      <c r="B44" s="369"/>
      <c r="C44" s="359"/>
      <c r="D44" s="370"/>
      <c r="E44" s="371"/>
      <c r="F44" s="361"/>
      <c r="G44" s="386">
        <f>SUM(F42:F43)</f>
        <v>0</v>
      </c>
    </row>
    <row r="45" spans="1:11" s="315" customFormat="1" ht="24" customHeight="1">
      <c r="A45" s="387"/>
      <c r="B45" s="467"/>
      <c r="C45" s="467"/>
      <c r="D45" s="467"/>
      <c r="E45" s="467"/>
      <c r="F45" s="362"/>
      <c r="G45" s="372"/>
    </row>
    <row r="46" spans="1:11" s="315" customFormat="1" ht="24" customHeight="1" thickBot="1">
      <c r="A46" s="387"/>
      <c r="B46" s="388"/>
      <c r="C46" s="337"/>
      <c r="D46" s="335"/>
      <c r="E46" s="389"/>
      <c r="F46" s="389"/>
      <c r="G46" s="372"/>
    </row>
    <row r="47" spans="1:11" s="315" customFormat="1" ht="42.75" customHeight="1" thickBot="1">
      <c r="A47" s="387"/>
      <c r="B47" s="467" t="s">
        <v>1137</v>
      </c>
      <c r="C47" s="467"/>
      <c r="D47" s="467"/>
      <c r="E47" s="467"/>
      <c r="F47" s="390" t="s">
        <v>1126</v>
      </c>
      <c r="G47" s="391">
        <f>+(G26+G34+G40)+G44</f>
        <v>0</v>
      </c>
      <c r="H47" s="317"/>
      <c r="I47" s="317"/>
      <c r="J47" s="317"/>
    </row>
    <row r="48" spans="1:11" s="315" customFormat="1" ht="24" customHeight="1">
      <c r="A48" s="387"/>
      <c r="B48" s="369"/>
      <c r="C48" s="359"/>
      <c r="D48" s="360"/>
      <c r="E48" s="361"/>
      <c r="F48" s="361"/>
      <c r="G48" s="375"/>
    </row>
    <row r="49" spans="1:11" s="315" customFormat="1" ht="24" customHeight="1">
      <c r="A49" s="387"/>
      <c r="B49" s="369"/>
      <c r="C49" s="359"/>
      <c r="D49" s="360"/>
      <c r="E49" s="361"/>
      <c r="F49" s="361"/>
      <c r="G49" s="375"/>
    </row>
    <row r="50" spans="1:11" s="315" customFormat="1" ht="24" customHeight="1">
      <c r="A50" s="387"/>
      <c r="B50" s="369"/>
      <c r="C50" s="359"/>
      <c r="D50" s="360"/>
      <c r="E50" s="361"/>
      <c r="F50" s="361"/>
      <c r="G50" s="375"/>
    </row>
    <row r="51" spans="1:11" s="315" customFormat="1" ht="24" customHeight="1">
      <c r="A51" s="357"/>
      <c r="B51" s="369"/>
      <c r="C51" s="359"/>
      <c r="D51" s="370"/>
      <c r="E51" s="371"/>
      <c r="F51" s="361"/>
      <c r="G51" s="392"/>
      <c r="H51" s="317"/>
      <c r="I51" s="318"/>
      <c r="J51" s="317"/>
      <c r="K51" s="317"/>
    </row>
    <row r="52" spans="1:11" s="315" customFormat="1" ht="24" customHeight="1">
      <c r="A52" s="357"/>
      <c r="B52" s="369"/>
      <c r="C52" s="359"/>
      <c r="D52" s="370"/>
      <c r="E52" s="371"/>
      <c r="F52" s="361"/>
      <c r="G52" s="372"/>
      <c r="H52" s="317"/>
      <c r="I52" s="317"/>
      <c r="J52" s="317"/>
    </row>
    <row r="53" spans="1:11" s="315" customFormat="1" ht="33" customHeight="1">
      <c r="A53" s="357"/>
      <c r="B53" s="393" t="s">
        <v>1127</v>
      </c>
      <c r="C53" s="394"/>
      <c r="D53" s="335"/>
      <c r="E53" s="344"/>
      <c r="F53" s="344"/>
      <c r="G53" s="372"/>
      <c r="H53" s="317"/>
      <c r="I53" s="317"/>
      <c r="J53" s="317"/>
      <c r="K53" s="317"/>
    </row>
    <row r="54" spans="1:11" s="317" customFormat="1" ht="31.5" customHeight="1">
      <c r="A54" s="357"/>
      <c r="B54" s="466" t="s">
        <v>1128</v>
      </c>
      <c r="C54" s="466"/>
      <c r="D54" s="395"/>
      <c r="E54" s="396">
        <v>0.1</v>
      </c>
      <c r="F54" s="397"/>
      <c r="G54" s="339">
        <f>G$47*E54</f>
        <v>0</v>
      </c>
      <c r="I54" s="318"/>
    </row>
    <row r="55" spans="1:11" s="317" customFormat="1" ht="31.5" customHeight="1">
      <c r="A55" s="357"/>
      <c r="B55" s="398" t="s">
        <v>1139</v>
      </c>
      <c r="C55" s="399"/>
      <c r="D55" s="400"/>
      <c r="E55" s="396">
        <v>1.7999999999999999E-2</v>
      </c>
      <c r="F55" s="397"/>
      <c r="G55" s="339">
        <f>G$54*E55</f>
        <v>0</v>
      </c>
      <c r="I55" s="318"/>
    </row>
    <row r="56" spans="1:11" s="317" customFormat="1" ht="31.5" customHeight="1">
      <c r="A56" s="357"/>
      <c r="B56" s="398" t="s">
        <v>1140</v>
      </c>
      <c r="C56" s="399"/>
      <c r="D56" s="400"/>
      <c r="E56" s="396">
        <v>0.01</v>
      </c>
      <c r="F56" s="397"/>
      <c r="G56" s="339">
        <f t="shared" ref="G56:G61" si="0">G$47*E56</f>
        <v>0</v>
      </c>
      <c r="I56" s="318"/>
    </row>
    <row r="57" spans="1:11" s="317" customFormat="1" ht="31.5" customHeight="1">
      <c r="A57" s="357"/>
      <c r="B57" s="398" t="s">
        <v>1138</v>
      </c>
      <c r="C57" s="401"/>
      <c r="D57" s="401"/>
      <c r="E57" s="396">
        <v>1E-3</v>
      </c>
      <c r="F57" s="397"/>
      <c r="G57" s="339">
        <f t="shared" si="0"/>
        <v>0</v>
      </c>
      <c r="I57" s="318"/>
    </row>
    <row r="58" spans="1:11" s="317" customFormat="1" ht="31.5" customHeight="1">
      <c r="A58" s="357"/>
      <c r="B58" s="471" t="s">
        <v>1130</v>
      </c>
      <c r="C58" s="471"/>
      <c r="D58" s="395"/>
      <c r="E58" s="396">
        <v>2.5999999999999999E-2</v>
      </c>
      <c r="F58" s="397"/>
      <c r="G58" s="339">
        <f t="shared" si="0"/>
        <v>0</v>
      </c>
      <c r="I58" s="318"/>
    </row>
    <row r="59" spans="1:11" s="317" customFormat="1" ht="31.5" customHeight="1">
      <c r="A59" s="357"/>
      <c r="B59" s="402" t="s">
        <v>1132</v>
      </c>
      <c r="C59" s="402"/>
      <c r="D59" s="402"/>
      <c r="E59" s="396">
        <v>0.05</v>
      </c>
      <c r="F59" s="397"/>
      <c r="G59" s="339">
        <f t="shared" si="0"/>
        <v>0</v>
      </c>
      <c r="I59" s="318"/>
    </row>
    <row r="60" spans="1:11" s="315" customFormat="1" ht="31.5" customHeight="1">
      <c r="A60" s="375"/>
      <c r="B60" s="336" t="s">
        <v>1129</v>
      </c>
      <c r="C60" s="403"/>
      <c r="D60" s="395"/>
      <c r="E60" s="396">
        <v>1.4999999999999999E-2</v>
      </c>
      <c r="F60" s="397"/>
      <c r="G60" s="339">
        <f t="shared" si="0"/>
        <v>0</v>
      </c>
      <c r="H60" s="320"/>
      <c r="I60" s="320"/>
      <c r="J60" s="320"/>
      <c r="K60" s="317"/>
    </row>
    <row r="61" spans="1:11" s="317" customFormat="1" ht="31.5" customHeight="1">
      <c r="A61" s="404"/>
      <c r="B61" s="336" t="s">
        <v>1131</v>
      </c>
      <c r="C61" s="397"/>
      <c r="D61" s="395"/>
      <c r="E61" s="396">
        <v>0.01</v>
      </c>
      <c r="F61" s="397"/>
      <c r="G61" s="339">
        <f t="shared" si="0"/>
        <v>0</v>
      </c>
      <c r="H61" s="320"/>
      <c r="I61" s="320"/>
      <c r="J61" s="320"/>
    </row>
    <row r="62" spans="1:11" s="317" customFormat="1" ht="31.5" customHeight="1">
      <c r="A62" s="405"/>
      <c r="B62" s="398"/>
      <c r="C62" s="399"/>
      <c r="D62" s="400"/>
      <c r="E62" s="396"/>
      <c r="F62" s="397"/>
      <c r="G62" s="339"/>
      <c r="H62" s="320"/>
      <c r="I62" s="320"/>
      <c r="J62" s="320"/>
      <c r="K62" s="320"/>
    </row>
    <row r="63" spans="1:11" s="317" customFormat="1" ht="24" customHeight="1">
      <c r="A63" s="405"/>
      <c r="B63" s="398"/>
      <c r="C63" s="399"/>
      <c r="D63" s="400"/>
      <c r="E63" s="396"/>
      <c r="F63" s="397"/>
      <c r="G63" s="339"/>
      <c r="H63" s="320"/>
      <c r="I63" s="320"/>
      <c r="J63" s="320"/>
      <c r="K63" s="320"/>
    </row>
    <row r="64" spans="1:11" s="317" customFormat="1" ht="24" customHeight="1">
      <c r="A64" s="405"/>
      <c r="B64" s="398"/>
      <c r="C64" s="399"/>
      <c r="D64" s="400"/>
      <c r="E64" s="396"/>
      <c r="F64" s="397"/>
      <c r="G64" s="339"/>
      <c r="H64" s="320"/>
      <c r="I64" s="320"/>
      <c r="J64" s="320"/>
      <c r="K64" s="320"/>
    </row>
    <row r="65" spans="1:11" s="317" customFormat="1" ht="24" customHeight="1">
      <c r="A65" s="357"/>
      <c r="B65" s="398"/>
      <c r="C65" s="399"/>
      <c r="D65" s="400"/>
      <c r="E65" s="396"/>
      <c r="F65" s="397"/>
      <c r="G65" s="339"/>
      <c r="H65" s="320"/>
      <c r="I65" s="320"/>
      <c r="J65" s="320"/>
      <c r="K65" s="320"/>
    </row>
    <row r="66" spans="1:11" s="317" customFormat="1" ht="24" customHeight="1" thickBot="1">
      <c r="A66" s="357"/>
      <c r="B66" s="406"/>
      <c r="C66" s="406"/>
      <c r="D66" s="406"/>
      <c r="E66" s="406"/>
      <c r="F66" s="406"/>
      <c r="G66" s="339"/>
      <c r="K66" s="320"/>
    </row>
    <row r="67" spans="1:11" s="320" customFormat="1" ht="60.75" customHeight="1" thickBot="1">
      <c r="A67" s="357"/>
      <c r="B67" s="467" t="s">
        <v>1133</v>
      </c>
      <c r="C67" s="467"/>
      <c r="D67" s="467"/>
      <c r="E67" s="467"/>
      <c r="F67" s="407" t="s">
        <v>1126</v>
      </c>
      <c r="G67" s="408">
        <f>SUM(G54:G62)</f>
        <v>0</v>
      </c>
      <c r="H67" s="317"/>
      <c r="I67" s="317"/>
      <c r="J67" s="317"/>
    </row>
    <row r="68" spans="1:11" s="320" customFormat="1" ht="24" customHeight="1" thickBot="1">
      <c r="A68" s="343"/>
      <c r="B68" s="409"/>
      <c r="C68" s="410"/>
      <c r="D68" s="411"/>
      <c r="E68" s="411"/>
      <c r="F68" s="339"/>
      <c r="G68" s="339"/>
      <c r="K68" s="317"/>
    </row>
    <row r="69" spans="1:11" s="320" customFormat="1" ht="63" customHeight="1" thickBot="1">
      <c r="A69" s="343"/>
      <c r="B69" s="470" t="s">
        <v>1134</v>
      </c>
      <c r="C69" s="470"/>
      <c r="D69" s="470"/>
      <c r="E69" s="470"/>
      <c r="F69" s="407" t="s">
        <v>1126</v>
      </c>
      <c r="G69" s="408">
        <f>SUM(G67+G47)</f>
        <v>0</v>
      </c>
      <c r="K69" s="317"/>
    </row>
    <row r="70" spans="1:11" s="320" customFormat="1" ht="24" customHeight="1">
      <c r="A70" s="343"/>
      <c r="B70" s="412"/>
      <c r="C70" s="412"/>
      <c r="D70" s="412"/>
      <c r="E70" s="412"/>
      <c r="F70" s="356"/>
      <c r="G70" s="356"/>
      <c r="K70" s="317"/>
    </row>
    <row r="71" spans="1:11" s="320" customFormat="1" ht="35.25" customHeight="1">
      <c r="A71" s="343"/>
      <c r="B71" s="412"/>
      <c r="C71" s="412"/>
      <c r="D71" s="412"/>
      <c r="E71" s="412"/>
      <c r="F71" s="356"/>
      <c r="G71" s="356"/>
      <c r="K71" s="317"/>
    </row>
    <row r="72" spans="1:11" s="320" customFormat="1" ht="46.5" customHeight="1">
      <c r="A72" s="343"/>
      <c r="B72" s="412"/>
      <c r="C72" s="412"/>
      <c r="D72" s="412"/>
      <c r="E72" s="412"/>
      <c r="F72" s="356"/>
      <c r="G72" s="356"/>
      <c r="K72" s="317"/>
    </row>
    <row r="73" spans="1:11" s="320" customFormat="1" ht="24" customHeight="1">
      <c r="A73" s="343"/>
      <c r="B73" s="412"/>
      <c r="C73" s="412"/>
      <c r="D73" s="412"/>
      <c r="E73" s="412"/>
      <c r="F73" s="356"/>
      <c r="G73" s="356"/>
      <c r="K73" s="317"/>
    </row>
    <row r="74" spans="1:11" s="320" customFormat="1" ht="24" customHeight="1">
      <c r="A74" s="343"/>
      <c r="B74" s="406"/>
      <c r="C74" s="406"/>
      <c r="D74" s="406"/>
      <c r="E74" s="406"/>
      <c r="F74" s="406"/>
      <c r="G74" s="406"/>
      <c r="H74" s="317"/>
      <c r="I74" s="317"/>
      <c r="J74" s="317"/>
    </row>
    <row r="75" spans="1:11" s="320" customFormat="1" ht="75.75" customHeight="1">
      <c r="A75" s="343"/>
      <c r="B75" s="468" t="s">
        <v>1152</v>
      </c>
      <c r="C75" s="468"/>
      <c r="D75" s="468"/>
      <c r="E75" s="468"/>
      <c r="F75" s="468"/>
      <c r="G75" s="468"/>
      <c r="H75" s="317"/>
      <c r="I75" s="317"/>
      <c r="J75" s="317"/>
    </row>
    <row r="76" spans="1:11" s="320" customFormat="1" ht="24" customHeight="1">
      <c r="A76" s="343"/>
      <c r="B76" s="469"/>
      <c r="C76" s="469"/>
      <c r="D76" s="469"/>
      <c r="E76" s="469"/>
      <c r="F76" s="469"/>
      <c r="G76" s="469"/>
      <c r="H76" s="317"/>
      <c r="I76" s="317"/>
      <c r="J76" s="317"/>
    </row>
    <row r="77" spans="1:11" s="320" customFormat="1" ht="30.75" customHeight="1">
      <c r="A77" s="413"/>
      <c r="B77" s="414" t="s">
        <v>1135</v>
      </c>
      <c r="C77" s="414"/>
      <c r="D77" s="415"/>
      <c r="E77" s="416"/>
      <c r="F77" s="416"/>
      <c r="G77" s="372"/>
      <c r="H77" s="317"/>
      <c r="I77" s="317"/>
      <c r="J77" s="317"/>
      <c r="K77" s="317"/>
    </row>
    <row r="78" spans="1:11" s="317" customFormat="1" ht="36.75" customHeight="1">
      <c r="A78" s="402"/>
      <c r="B78" s="417" t="s">
        <v>1155</v>
      </c>
      <c r="C78" s="418"/>
      <c r="D78" s="415"/>
      <c r="E78" s="419"/>
      <c r="F78" s="420"/>
      <c r="G78" s="421"/>
    </row>
    <row r="79" spans="1:11" s="317" customFormat="1" ht="37.5" customHeight="1">
      <c r="A79" s="402"/>
      <c r="B79" s="417" t="s">
        <v>1156</v>
      </c>
      <c r="C79" s="417"/>
      <c r="D79" s="415"/>
      <c r="E79" s="422"/>
      <c r="F79" s="422"/>
      <c r="G79" s="416"/>
    </row>
    <row r="80" spans="1:11" s="317" customFormat="1" ht="24" customHeight="1">
      <c r="A80" s="423"/>
      <c r="B80" s="424"/>
      <c r="C80" s="417"/>
      <c r="D80" s="415"/>
      <c r="E80" s="425"/>
      <c r="F80" s="425"/>
      <c r="G80" s="426"/>
    </row>
    <row r="81" spans="1:11" s="317" customFormat="1" ht="24" customHeight="1">
      <c r="A81" s="427"/>
      <c r="B81" s="336"/>
      <c r="C81" s="428"/>
      <c r="D81" s="415"/>
      <c r="E81" s="425"/>
      <c r="F81" s="425"/>
      <c r="G81" s="426"/>
      <c r="H81" s="320"/>
      <c r="I81" s="320"/>
      <c r="J81" s="320"/>
    </row>
    <row r="82" spans="1:11" s="317" customFormat="1" ht="24" customHeight="1">
      <c r="A82" s="429"/>
      <c r="B82" s="336"/>
      <c r="C82" s="430"/>
      <c r="D82" s="416"/>
      <c r="E82" s="431"/>
      <c r="F82" s="431"/>
      <c r="G82" s="422"/>
    </row>
    <row r="83" spans="1:11" s="317" customFormat="1" ht="44.25" customHeight="1">
      <c r="A83" s="432" t="s">
        <v>1136</v>
      </c>
      <c r="B83" s="336"/>
      <c r="C83" s="433"/>
      <c r="D83" s="434"/>
      <c r="E83" s="434"/>
      <c r="F83" s="434"/>
      <c r="G83" s="425"/>
      <c r="K83" s="320"/>
    </row>
    <row r="84" spans="1:11" s="317" customFormat="1" ht="35.25" customHeight="1">
      <c r="A84" s="435" t="s">
        <v>1151</v>
      </c>
      <c r="B84" s="336"/>
      <c r="C84" s="436"/>
      <c r="D84" s="437"/>
      <c r="E84" s="438"/>
      <c r="F84" s="438"/>
      <c r="G84" s="425"/>
    </row>
    <row r="85" spans="1:11" s="317" customFormat="1" ht="24" customHeight="1">
      <c r="A85" s="402"/>
      <c r="B85" s="402"/>
      <c r="C85" s="439"/>
      <c r="D85" s="440"/>
      <c r="E85" s="441"/>
      <c r="F85" s="441"/>
      <c r="G85" s="426"/>
    </row>
    <row r="86" spans="1:11" s="320" customFormat="1" ht="24" customHeight="1">
      <c r="A86" s="406"/>
      <c r="B86" s="406"/>
      <c r="C86" s="337"/>
      <c r="D86" s="335"/>
      <c r="E86" s="332"/>
      <c r="F86" s="332"/>
      <c r="G86" s="434"/>
      <c r="H86" s="317"/>
      <c r="I86" s="317"/>
      <c r="J86" s="317"/>
      <c r="K86" s="317"/>
    </row>
    <row r="87" spans="1:11" s="317" customFormat="1" ht="24" customHeight="1">
      <c r="C87" s="319"/>
      <c r="D87" s="303"/>
      <c r="E87" s="300"/>
      <c r="F87" s="300"/>
      <c r="G87" s="321"/>
    </row>
    <row r="88" spans="1:11" s="317" customFormat="1" ht="24" customHeight="1">
      <c r="C88" s="319"/>
      <c r="D88" s="303"/>
      <c r="E88" s="300"/>
      <c r="F88" s="300"/>
      <c r="G88" s="322"/>
    </row>
    <row r="89" spans="1:11" s="317" customFormat="1" ht="24" customHeight="1">
      <c r="C89" s="314"/>
      <c r="D89" s="303"/>
      <c r="E89" s="300"/>
      <c r="F89" s="300"/>
      <c r="G89" s="301"/>
    </row>
    <row r="90" spans="1:11" s="317" customFormat="1" ht="24" customHeight="1">
      <c r="C90" s="314"/>
      <c r="D90" s="303"/>
      <c r="E90" s="300"/>
      <c r="F90" s="300"/>
      <c r="G90" s="301"/>
      <c r="H90" s="323"/>
      <c r="I90" s="323"/>
    </row>
    <row r="91" spans="1:11" s="317" customFormat="1" ht="24" customHeight="1">
      <c r="C91" s="314"/>
      <c r="D91" s="303"/>
      <c r="E91" s="300"/>
      <c r="F91" s="300"/>
      <c r="G91" s="301"/>
    </row>
    <row r="92" spans="1:11" s="317" customFormat="1" ht="24" customHeight="1">
      <c r="C92" s="314"/>
      <c r="D92" s="303"/>
      <c r="E92" s="300"/>
      <c r="F92" s="300"/>
      <c r="G92" s="301"/>
    </row>
    <row r="93" spans="1:11" s="317" customFormat="1" ht="24" customHeight="1">
      <c r="C93" s="314"/>
      <c r="D93" s="303"/>
      <c r="E93" s="300"/>
      <c r="F93" s="300"/>
      <c r="G93" s="301"/>
    </row>
    <row r="94" spans="1:11" s="317" customFormat="1" ht="24" customHeight="1">
      <c r="A94" s="324"/>
      <c r="B94" s="319"/>
      <c r="C94" s="314"/>
      <c r="D94" s="303"/>
      <c r="E94" s="300"/>
      <c r="F94" s="300"/>
      <c r="G94" s="301"/>
    </row>
    <row r="95" spans="1:11" s="317" customFormat="1" ht="24" customHeight="1">
      <c r="A95" s="299"/>
      <c r="B95" s="319"/>
      <c r="C95" s="314"/>
      <c r="D95" s="303"/>
      <c r="E95" s="300"/>
      <c r="F95" s="300"/>
      <c r="G95" s="301"/>
    </row>
    <row r="96" spans="1:11" s="317" customFormat="1" ht="24" customHeight="1">
      <c r="A96" s="299"/>
      <c r="B96" s="319"/>
      <c r="C96" s="314"/>
      <c r="D96" s="303"/>
      <c r="E96" s="300"/>
      <c r="F96" s="300"/>
      <c r="G96" s="301"/>
    </row>
    <row r="97" spans="1:7" s="317" customFormat="1" ht="24" customHeight="1">
      <c r="A97" s="299"/>
      <c r="B97" s="319"/>
      <c r="C97" s="314"/>
      <c r="D97" s="303"/>
      <c r="E97" s="300"/>
      <c r="F97" s="300"/>
      <c r="G97" s="301"/>
    </row>
    <row r="98" spans="1:7" s="317" customFormat="1" ht="24" customHeight="1">
      <c r="A98" s="299"/>
      <c r="B98" s="319"/>
      <c r="C98" s="314"/>
      <c r="D98" s="303"/>
      <c r="E98" s="300"/>
      <c r="F98" s="300"/>
      <c r="G98" s="301"/>
    </row>
    <row r="99" spans="1:7" s="317" customFormat="1" ht="24" customHeight="1">
      <c r="A99" s="299"/>
      <c r="B99" s="319"/>
      <c r="C99" s="314"/>
      <c r="D99" s="303"/>
      <c r="E99" s="300"/>
      <c r="F99" s="300"/>
      <c r="G99" s="301"/>
    </row>
    <row r="100" spans="1:7" s="317" customFormat="1" ht="24" customHeight="1">
      <c r="A100" s="299"/>
      <c r="B100" s="319"/>
      <c r="C100" s="314"/>
      <c r="D100" s="303"/>
      <c r="E100" s="300"/>
      <c r="F100" s="300"/>
      <c r="G100" s="301"/>
    </row>
    <row r="101" spans="1:7" s="317" customFormat="1" ht="24" customHeight="1">
      <c r="A101" s="299"/>
      <c r="B101" s="319"/>
      <c r="C101" s="314"/>
      <c r="D101" s="303"/>
      <c r="E101" s="300"/>
      <c r="F101" s="300"/>
      <c r="G101" s="301"/>
    </row>
    <row r="102" spans="1:7" s="317" customFormat="1" ht="24" customHeight="1">
      <c r="A102" s="299"/>
      <c r="B102" s="319"/>
      <c r="C102" s="314"/>
      <c r="D102" s="303"/>
      <c r="E102" s="300"/>
      <c r="F102" s="300"/>
      <c r="G102" s="301"/>
    </row>
    <row r="103" spans="1:7" s="317" customFormat="1" ht="24" customHeight="1">
      <c r="A103" s="299"/>
      <c r="B103" s="319"/>
      <c r="C103" s="314"/>
      <c r="D103" s="303"/>
      <c r="E103" s="300"/>
      <c r="F103" s="300"/>
      <c r="G103" s="301"/>
    </row>
    <row r="104" spans="1:7" s="317" customFormat="1" ht="24" customHeight="1">
      <c r="A104" s="299"/>
      <c r="B104" s="319"/>
      <c r="C104" s="314"/>
      <c r="D104" s="303"/>
      <c r="E104" s="300"/>
      <c r="F104" s="300"/>
      <c r="G104" s="301"/>
    </row>
    <row r="105" spans="1:7" s="317" customFormat="1" ht="24" customHeight="1">
      <c r="A105" s="299"/>
      <c r="B105" s="319"/>
      <c r="C105" s="314"/>
      <c r="D105" s="303"/>
      <c r="E105" s="300"/>
      <c r="F105" s="300"/>
      <c r="G105" s="301"/>
    </row>
    <row r="106" spans="1:7" s="317" customFormat="1" ht="24" customHeight="1">
      <c r="A106" s="299"/>
      <c r="B106" s="319"/>
      <c r="C106" s="314"/>
      <c r="D106" s="303"/>
      <c r="E106" s="300"/>
      <c r="F106" s="300"/>
      <c r="G106" s="301"/>
    </row>
    <row r="107" spans="1:7" s="317" customFormat="1" ht="24" customHeight="1">
      <c r="A107" s="299"/>
      <c r="B107" s="319"/>
      <c r="C107" s="314"/>
      <c r="D107" s="303"/>
      <c r="E107" s="300"/>
      <c r="F107" s="300"/>
      <c r="G107" s="301"/>
    </row>
    <row r="108" spans="1:7" s="317" customFormat="1" ht="24" customHeight="1">
      <c r="A108" s="299"/>
      <c r="B108" s="319"/>
      <c r="C108" s="314"/>
      <c r="D108" s="303"/>
      <c r="E108" s="300"/>
      <c r="F108" s="300"/>
      <c r="G108" s="301"/>
    </row>
    <row r="109" spans="1:7" s="317" customFormat="1" ht="24" customHeight="1">
      <c r="A109" s="299"/>
      <c r="B109" s="319"/>
      <c r="C109" s="314"/>
      <c r="D109" s="303"/>
      <c r="E109" s="300"/>
      <c r="F109" s="300"/>
      <c r="G109" s="301"/>
    </row>
    <row r="110" spans="1:7" s="317" customFormat="1" ht="24" customHeight="1">
      <c r="A110" s="299"/>
      <c r="B110" s="319"/>
      <c r="C110" s="314"/>
      <c r="D110" s="303"/>
      <c r="E110" s="300"/>
      <c r="F110" s="300"/>
      <c r="G110" s="301"/>
    </row>
    <row r="111" spans="1:7" s="317" customFormat="1" ht="24" customHeight="1">
      <c r="A111" s="299"/>
      <c r="B111" s="319"/>
      <c r="C111" s="314"/>
      <c r="D111" s="303"/>
      <c r="E111" s="300"/>
      <c r="F111" s="300"/>
      <c r="G111" s="301"/>
    </row>
    <row r="112" spans="1:7" s="317" customFormat="1" ht="24" customHeight="1">
      <c r="A112" s="299"/>
      <c r="B112" s="319"/>
      <c r="C112" s="314"/>
      <c r="D112" s="303"/>
      <c r="E112" s="300"/>
      <c r="F112" s="300"/>
      <c r="G112" s="301"/>
    </row>
    <row r="113" spans="1:10" s="317" customFormat="1" ht="24" customHeight="1">
      <c r="A113" s="299"/>
      <c r="B113" s="319"/>
      <c r="C113" s="314"/>
      <c r="D113" s="303"/>
      <c r="E113" s="300"/>
      <c r="F113" s="300"/>
      <c r="G113" s="301"/>
    </row>
    <row r="114" spans="1:10" s="317" customFormat="1" ht="24" customHeight="1">
      <c r="A114" s="299"/>
      <c r="B114" s="319"/>
      <c r="C114" s="314"/>
      <c r="D114" s="303"/>
      <c r="E114" s="300"/>
      <c r="F114" s="300"/>
      <c r="G114" s="301"/>
    </row>
    <row r="115" spans="1:10" s="317" customFormat="1" ht="24" customHeight="1">
      <c r="A115" s="299"/>
      <c r="B115" s="319"/>
      <c r="C115" s="314"/>
      <c r="D115" s="303"/>
      <c r="E115" s="300"/>
      <c r="F115" s="300"/>
      <c r="G115" s="301"/>
    </row>
    <row r="116" spans="1:10" s="317" customFormat="1" ht="24" customHeight="1">
      <c r="A116" s="299"/>
      <c r="B116" s="319"/>
      <c r="C116" s="314"/>
      <c r="D116" s="303"/>
      <c r="E116" s="300"/>
      <c r="F116" s="300"/>
      <c r="G116" s="301"/>
    </row>
    <row r="117" spans="1:10" s="317" customFormat="1" ht="24" customHeight="1">
      <c r="A117" s="299"/>
      <c r="B117" s="319"/>
      <c r="C117" s="314"/>
      <c r="D117" s="303"/>
      <c r="E117" s="300"/>
      <c r="F117" s="300"/>
      <c r="G117" s="301"/>
    </row>
    <row r="118" spans="1:10" s="317" customFormat="1" ht="24" customHeight="1">
      <c r="A118" s="299"/>
      <c r="B118" s="319"/>
      <c r="C118" s="314"/>
      <c r="D118" s="303"/>
      <c r="E118" s="300"/>
      <c r="F118" s="300"/>
      <c r="G118" s="301"/>
    </row>
    <row r="119" spans="1:10" s="317" customFormat="1" ht="24" customHeight="1">
      <c r="A119" s="299"/>
      <c r="B119" s="319"/>
      <c r="C119" s="314"/>
      <c r="D119" s="303"/>
      <c r="E119" s="300"/>
      <c r="F119" s="300"/>
      <c r="G119" s="301"/>
    </row>
    <row r="120" spans="1:10" s="317" customFormat="1" ht="24" customHeight="1">
      <c r="A120" s="299"/>
      <c r="B120" s="319"/>
      <c r="C120" s="314"/>
      <c r="D120" s="303"/>
      <c r="E120" s="300"/>
      <c r="F120" s="300"/>
      <c r="G120" s="301"/>
    </row>
    <row r="121" spans="1:10" s="317" customFormat="1" ht="24" customHeight="1">
      <c r="A121" s="299"/>
      <c r="B121" s="319"/>
      <c r="C121" s="314"/>
      <c r="D121" s="303"/>
      <c r="E121" s="300"/>
      <c r="F121" s="300"/>
      <c r="G121" s="301"/>
    </row>
    <row r="122" spans="1:10" s="317" customFormat="1" ht="24" customHeight="1">
      <c r="A122" s="299"/>
      <c r="B122" s="319"/>
      <c r="C122" s="314"/>
      <c r="D122" s="303"/>
      <c r="E122" s="300"/>
      <c r="F122" s="300"/>
      <c r="G122" s="301"/>
    </row>
    <row r="123" spans="1:10" s="317" customFormat="1" ht="24" customHeight="1">
      <c r="A123" s="299"/>
      <c r="B123" s="319"/>
      <c r="C123" s="314"/>
      <c r="D123" s="303"/>
      <c r="E123" s="300"/>
      <c r="F123" s="300"/>
      <c r="G123" s="301"/>
    </row>
    <row r="124" spans="1:10" s="317" customFormat="1" ht="24" customHeight="1">
      <c r="A124" s="299"/>
      <c r="B124" s="319"/>
      <c r="C124" s="314"/>
      <c r="D124" s="303"/>
      <c r="E124" s="300"/>
      <c r="F124" s="300"/>
      <c r="G124" s="301"/>
    </row>
    <row r="125" spans="1:10" s="317" customFormat="1" ht="24" customHeight="1">
      <c r="A125" s="299"/>
      <c r="B125" s="319"/>
      <c r="C125" s="314"/>
      <c r="D125" s="303"/>
      <c r="E125" s="300"/>
      <c r="F125" s="300"/>
      <c r="G125" s="301"/>
    </row>
    <row r="126" spans="1:10" s="317" customFormat="1" ht="24" customHeight="1">
      <c r="A126" s="299"/>
      <c r="B126" s="319"/>
      <c r="C126" s="314"/>
      <c r="D126" s="303"/>
      <c r="E126" s="300"/>
      <c r="F126" s="300"/>
      <c r="G126" s="301"/>
    </row>
    <row r="127" spans="1:10" s="317" customFormat="1" ht="24" customHeight="1">
      <c r="A127" s="299"/>
      <c r="B127" s="319"/>
      <c r="C127" s="314"/>
      <c r="D127" s="303"/>
      <c r="E127" s="300"/>
      <c r="F127" s="300"/>
      <c r="G127" s="301"/>
    </row>
    <row r="128" spans="1:10" s="317" customFormat="1" ht="24" customHeight="1">
      <c r="A128" s="299"/>
      <c r="B128" s="319"/>
      <c r="C128" s="314"/>
      <c r="D128" s="303"/>
      <c r="E128" s="300"/>
      <c r="F128" s="300"/>
      <c r="G128" s="301"/>
      <c r="H128" s="315"/>
      <c r="I128" s="315"/>
      <c r="J128" s="315"/>
    </row>
    <row r="129" spans="1:11" s="317" customFormat="1" ht="24" customHeight="1">
      <c r="A129" s="299"/>
      <c r="B129" s="319"/>
      <c r="C129" s="314"/>
      <c r="D129" s="303"/>
      <c r="E129" s="300"/>
      <c r="F129" s="300"/>
      <c r="G129" s="301"/>
      <c r="H129" s="315"/>
      <c r="I129" s="315"/>
      <c r="J129" s="315"/>
    </row>
    <row r="130" spans="1:11" s="317" customFormat="1" ht="24" customHeight="1">
      <c r="A130" s="299"/>
      <c r="B130" s="319"/>
      <c r="C130" s="314"/>
      <c r="D130" s="303"/>
      <c r="E130" s="300"/>
      <c r="F130" s="300"/>
      <c r="G130" s="301"/>
      <c r="H130" s="315"/>
      <c r="I130" s="315"/>
      <c r="J130" s="315"/>
      <c r="K130" s="315"/>
    </row>
    <row r="131" spans="1:11" s="317" customFormat="1" ht="24" customHeight="1">
      <c r="A131" s="299"/>
      <c r="B131" s="319"/>
      <c r="C131" s="314"/>
      <c r="D131" s="303"/>
      <c r="E131" s="300"/>
      <c r="F131" s="300"/>
      <c r="G131" s="301"/>
      <c r="H131" s="315"/>
      <c r="I131" s="315"/>
      <c r="J131" s="315"/>
      <c r="K131" s="315"/>
    </row>
    <row r="132" spans="1:11" s="317" customFormat="1" ht="24" customHeight="1">
      <c r="A132" s="299"/>
      <c r="B132" s="319"/>
      <c r="C132" s="314"/>
      <c r="D132" s="303"/>
      <c r="E132" s="300"/>
      <c r="F132" s="300"/>
      <c r="G132" s="301"/>
      <c r="H132" s="315"/>
      <c r="I132" s="315"/>
      <c r="J132" s="315"/>
      <c r="K132" s="315"/>
    </row>
    <row r="133" spans="1:11" s="315" customFormat="1" ht="24" customHeight="1">
      <c r="A133" s="299"/>
      <c r="B133" s="319"/>
      <c r="C133" s="314"/>
      <c r="D133" s="303"/>
      <c r="E133" s="300"/>
      <c r="F133" s="300"/>
      <c r="G133" s="301"/>
    </row>
    <row r="134" spans="1:11" s="315" customFormat="1" ht="24" customHeight="1">
      <c r="A134" s="299"/>
      <c r="B134" s="319"/>
      <c r="C134" s="314"/>
      <c r="D134" s="303"/>
      <c r="E134" s="300"/>
      <c r="F134" s="300"/>
      <c r="G134" s="301"/>
    </row>
    <row r="135" spans="1:11" s="315" customFormat="1" ht="24" customHeight="1">
      <c r="A135" s="299"/>
      <c r="B135" s="319"/>
      <c r="C135" s="314"/>
      <c r="D135" s="303"/>
      <c r="E135" s="300"/>
      <c r="F135" s="300"/>
      <c r="G135" s="301"/>
    </row>
    <row r="136" spans="1:11" s="315" customFormat="1" ht="24" customHeight="1">
      <c r="A136" s="299"/>
      <c r="B136" s="319"/>
      <c r="C136" s="314"/>
      <c r="D136" s="303"/>
      <c r="E136" s="300"/>
      <c r="F136" s="300"/>
      <c r="G136" s="301"/>
    </row>
    <row r="137" spans="1:11" s="315" customFormat="1" ht="24" customHeight="1">
      <c r="A137" s="299"/>
      <c r="B137" s="319"/>
      <c r="C137" s="314"/>
      <c r="D137" s="303"/>
      <c r="E137" s="300"/>
      <c r="F137" s="300"/>
      <c r="G137" s="301"/>
    </row>
    <row r="138" spans="1:11" s="315" customFormat="1" ht="24" customHeight="1">
      <c r="A138" s="299"/>
      <c r="B138" s="319"/>
      <c r="C138" s="314"/>
      <c r="D138" s="303"/>
      <c r="E138" s="300"/>
      <c r="F138" s="300"/>
      <c r="G138" s="301"/>
    </row>
    <row r="139" spans="1:11" s="315" customFormat="1" ht="24" customHeight="1">
      <c r="A139" s="299"/>
      <c r="B139" s="319"/>
      <c r="C139" s="314"/>
      <c r="D139" s="303"/>
      <c r="E139" s="300"/>
      <c r="F139" s="300"/>
      <c r="G139" s="301"/>
    </row>
    <row r="140" spans="1:11" s="315" customFormat="1" ht="24" customHeight="1">
      <c r="A140" s="299"/>
      <c r="B140" s="319"/>
      <c r="C140" s="314"/>
      <c r="D140" s="303"/>
      <c r="E140" s="300"/>
      <c r="F140" s="300"/>
      <c r="G140" s="301"/>
    </row>
    <row r="141" spans="1:11" s="315" customFormat="1" ht="24" customHeight="1">
      <c r="A141" s="299"/>
      <c r="B141" s="319"/>
      <c r="C141" s="314"/>
      <c r="D141" s="303"/>
      <c r="E141" s="300"/>
      <c r="F141" s="300"/>
      <c r="G141" s="301"/>
    </row>
    <row r="142" spans="1:11" s="315" customFormat="1" ht="24" customHeight="1">
      <c r="A142" s="299"/>
      <c r="B142" s="319"/>
      <c r="C142" s="314"/>
      <c r="D142" s="303"/>
      <c r="E142" s="300"/>
      <c r="F142" s="300"/>
      <c r="G142" s="301"/>
    </row>
    <row r="143" spans="1:11" s="315" customFormat="1" ht="24" customHeight="1">
      <c r="A143" s="299"/>
      <c r="B143" s="319"/>
      <c r="C143" s="314"/>
      <c r="D143" s="303"/>
      <c r="E143" s="300"/>
      <c r="F143" s="300"/>
      <c r="G143" s="301"/>
    </row>
    <row r="144" spans="1:11" s="315" customFormat="1" ht="24" customHeight="1">
      <c r="A144" s="299"/>
      <c r="B144" s="319"/>
      <c r="C144" s="314"/>
      <c r="D144" s="303"/>
      <c r="E144" s="300"/>
      <c r="F144" s="300"/>
      <c r="G144" s="301"/>
    </row>
    <row r="145" spans="1:7" s="315" customFormat="1" ht="24" customHeight="1">
      <c r="A145" s="299"/>
      <c r="B145" s="319"/>
      <c r="C145" s="314"/>
      <c r="D145" s="303"/>
      <c r="E145" s="300"/>
      <c r="F145" s="300"/>
      <c r="G145" s="301"/>
    </row>
    <row r="146" spans="1:7" s="315" customFormat="1" ht="24" customHeight="1">
      <c r="A146" s="299"/>
      <c r="B146" s="319"/>
      <c r="C146" s="314"/>
      <c r="D146" s="303"/>
      <c r="E146" s="300"/>
      <c r="F146" s="300"/>
      <c r="G146" s="301"/>
    </row>
    <row r="147" spans="1:7" s="315" customFormat="1" ht="24" customHeight="1">
      <c r="A147" s="299"/>
      <c r="B147" s="319"/>
      <c r="C147" s="314"/>
      <c r="D147" s="303"/>
      <c r="E147" s="300"/>
      <c r="F147" s="300"/>
      <c r="G147" s="301"/>
    </row>
    <row r="148" spans="1:7" s="315" customFormat="1" ht="24" customHeight="1">
      <c r="A148" s="299"/>
      <c r="B148" s="319"/>
      <c r="C148" s="314"/>
      <c r="D148" s="303"/>
      <c r="E148" s="300"/>
      <c r="F148" s="300"/>
      <c r="G148" s="301"/>
    </row>
    <row r="149" spans="1:7" s="315" customFormat="1" ht="24" customHeight="1">
      <c r="A149" s="299"/>
      <c r="B149" s="319"/>
      <c r="C149" s="314"/>
      <c r="D149" s="303"/>
      <c r="E149" s="300"/>
      <c r="F149" s="300"/>
      <c r="G149" s="301"/>
    </row>
    <row r="150" spans="1:7" s="315" customFormat="1" ht="24" customHeight="1">
      <c r="A150" s="299"/>
      <c r="B150" s="319"/>
      <c r="C150" s="314"/>
      <c r="D150" s="303"/>
      <c r="E150" s="300"/>
      <c r="F150" s="300"/>
      <c r="G150" s="301"/>
    </row>
    <row r="151" spans="1:7" s="315" customFormat="1" ht="24" customHeight="1">
      <c r="A151" s="299"/>
      <c r="B151" s="319"/>
      <c r="C151" s="314"/>
      <c r="D151" s="303"/>
      <c r="E151" s="300"/>
      <c r="F151" s="300"/>
      <c r="G151" s="301"/>
    </row>
    <row r="152" spans="1:7" s="315" customFormat="1" ht="24" customHeight="1">
      <c r="A152" s="299"/>
      <c r="B152" s="319"/>
      <c r="C152" s="314"/>
      <c r="D152" s="303"/>
      <c r="E152" s="300"/>
      <c r="F152" s="300"/>
      <c r="G152" s="301"/>
    </row>
    <row r="153" spans="1:7" s="315" customFormat="1" ht="24" customHeight="1">
      <c r="A153" s="299"/>
      <c r="B153" s="319"/>
      <c r="C153" s="314"/>
      <c r="D153" s="303"/>
      <c r="E153" s="300"/>
      <c r="F153" s="300"/>
      <c r="G153" s="301"/>
    </row>
    <row r="154" spans="1:7" s="315" customFormat="1" ht="24" customHeight="1">
      <c r="A154" s="299"/>
      <c r="B154" s="319"/>
      <c r="C154" s="314"/>
      <c r="D154" s="303"/>
      <c r="E154" s="300"/>
      <c r="F154" s="300"/>
      <c r="G154" s="301"/>
    </row>
    <row r="155" spans="1:7" s="315" customFormat="1" ht="24" customHeight="1">
      <c r="A155" s="299"/>
      <c r="B155" s="319"/>
      <c r="C155" s="314"/>
      <c r="D155" s="303"/>
      <c r="E155" s="300"/>
      <c r="F155" s="300"/>
      <c r="G155" s="301"/>
    </row>
    <row r="156" spans="1:7" s="315" customFormat="1" ht="24" customHeight="1">
      <c r="A156" s="299"/>
      <c r="B156" s="319"/>
      <c r="C156" s="314"/>
      <c r="D156" s="303"/>
      <c r="E156" s="300"/>
      <c r="F156" s="300"/>
      <c r="G156" s="301"/>
    </row>
    <row r="157" spans="1:7" s="315" customFormat="1" ht="24" customHeight="1">
      <c r="A157" s="299"/>
      <c r="B157" s="319"/>
      <c r="C157" s="314"/>
      <c r="D157" s="303"/>
      <c r="E157" s="300"/>
      <c r="F157" s="300"/>
      <c r="G157" s="301"/>
    </row>
    <row r="158" spans="1:7" s="315" customFormat="1" ht="24" customHeight="1">
      <c r="A158" s="299"/>
      <c r="B158" s="319"/>
      <c r="C158" s="314"/>
      <c r="D158" s="303"/>
      <c r="E158" s="300"/>
      <c r="F158" s="300"/>
      <c r="G158" s="301"/>
    </row>
    <row r="159" spans="1:7" s="315" customFormat="1" ht="24" customHeight="1">
      <c r="A159" s="299"/>
      <c r="B159" s="319"/>
      <c r="C159" s="314"/>
      <c r="D159" s="303"/>
      <c r="E159" s="300"/>
      <c r="F159" s="300"/>
      <c r="G159" s="301"/>
    </row>
    <row r="160" spans="1:7" s="315" customFormat="1" ht="24" customHeight="1">
      <c r="A160" s="299"/>
      <c r="B160" s="319"/>
      <c r="C160" s="314"/>
      <c r="D160" s="303"/>
      <c r="E160" s="300"/>
      <c r="F160" s="300"/>
      <c r="G160" s="301"/>
    </row>
    <row r="161" spans="1:7" s="315" customFormat="1" ht="24" customHeight="1">
      <c r="A161" s="299"/>
      <c r="B161" s="319"/>
      <c r="C161" s="314"/>
      <c r="D161" s="303"/>
      <c r="E161" s="300"/>
      <c r="F161" s="300"/>
      <c r="G161" s="301"/>
    </row>
    <row r="162" spans="1:7" s="315" customFormat="1" ht="24" customHeight="1">
      <c r="A162" s="299"/>
      <c r="B162" s="319"/>
      <c r="C162" s="314"/>
      <c r="D162" s="303"/>
      <c r="E162" s="300"/>
      <c r="F162" s="300"/>
      <c r="G162" s="301"/>
    </row>
    <row r="163" spans="1:7" s="315" customFormat="1" ht="24" customHeight="1">
      <c r="A163" s="299"/>
      <c r="B163" s="319"/>
      <c r="C163" s="314"/>
      <c r="D163" s="303"/>
      <c r="E163" s="300"/>
      <c r="F163" s="300"/>
      <c r="G163" s="301"/>
    </row>
    <row r="164" spans="1:7" s="315" customFormat="1" ht="24" customHeight="1">
      <c r="A164" s="299"/>
      <c r="B164" s="319"/>
      <c r="C164" s="314"/>
      <c r="D164" s="303"/>
      <c r="E164" s="300"/>
      <c r="F164" s="300"/>
      <c r="G164" s="301"/>
    </row>
    <row r="165" spans="1:7" s="315" customFormat="1" ht="24" customHeight="1">
      <c r="A165" s="299"/>
      <c r="B165" s="319"/>
      <c r="C165" s="314"/>
      <c r="D165" s="303"/>
      <c r="E165" s="300"/>
      <c r="F165" s="300"/>
      <c r="G165" s="301"/>
    </row>
    <row r="166" spans="1:7" s="315" customFormat="1" ht="24" customHeight="1">
      <c r="A166" s="299"/>
      <c r="B166" s="319"/>
      <c r="C166" s="314"/>
      <c r="D166" s="303"/>
      <c r="E166" s="300"/>
      <c r="F166" s="300"/>
      <c r="G166" s="301"/>
    </row>
    <row r="167" spans="1:7" s="315" customFormat="1" ht="24" customHeight="1">
      <c r="A167" s="299"/>
      <c r="B167" s="319"/>
      <c r="C167" s="314"/>
      <c r="D167" s="303"/>
      <c r="E167" s="300"/>
      <c r="F167" s="300"/>
      <c r="G167" s="301"/>
    </row>
    <row r="168" spans="1:7" s="315" customFormat="1" ht="24" customHeight="1">
      <c r="A168" s="299"/>
      <c r="B168" s="319"/>
      <c r="C168" s="314"/>
      <c r="D168" s="303"/>
      <c r="E168" s="300"/>
      <c r="F168" s="300"/>
      <c r="G168" s="301"/>
    </row>
    <row r="169" spans="1:7" s="315" customFormat="1" ht="24" customHeight="1">
      <c r="A169" s="299"/>
      <c r="B169" s="319"/>
      <c r="C169" s="314"/>
      <c r="D169" s="303"/>
      <c r="E169" s="300"/>
      <c r="F169" s="300"/>
      <c r="G169" s="301"/>
    </row>
    <row r="170" spans="1:7" s="315" customFormat="1" ht="24" customHeight="1">
      <c r="A170" s="299"/>
      <c r="B170" s="319"/>
      <c r="C170" s="314"/>
      <c r="D170" s="303"/>
      <c r="E170" s="300"/>
      <c r="F170" s="300"/>
      <c r="G170" s="301"/>
    </row>
    <row r="171" spans="1:7" s="315" customFormat="1" ht="24" customHeight="1">
      <c r="A171" s="299"/>
      <c r="B171" s="319"/>
      <c r="C171" s="314"/>
      <c r="D171" s="303"/>
      <c r="E171" s="300"/>
      <c r="F171" s="300"/>
      <c r="G171" s="301"/>
    </row>
    <row r="172" spans="1:7" s="315" customFormat="1" ht="24" customHeight="1">
      <c r="A172" s="299"/>
      <c r="B172" s="319"/>
      <c r="C172" s="314"/>
      <c r="D172" s="303"/>
      <c r="E172" s="300"/>
      <c r="F172" s="300"/>
      <c r="G172" s="301"/>
    </row>
    <row r="173" spans="1:7" s="315" customFormat="1" ht="24" customHeight="1">
      <c r="A173" s="299"/>
      <c r="B173" s="319"/>
      <c r="C173" s="314"/>
      <c r="D173" s="303"/>
      <c r="E173" s="300"/>
      <c r="F173" s="300"/>
      <c r="G173" s="301"/>
    </row>
    <row r="174" spans="1:7" s="315" customFormat="1" ht="24" customHeight="1">
      <c r="A174" s="299"/>
      <c r="B174" s="319"/>
      <c r="C174" s="314"/>
      <c r="D174" s="303"/>
      <c r="E174" s="300"/>
      <c r="F174" s="300"/>
      <c r="G174" s="301"/>
    </row>
    <row r="175" spans="1:7" s="315" customFormat="1" ht="24" customHeight="1">
      <c r="A175" s="299"/>
      <c r="B175" s="319"/>
      <c r="C175" s="314"/>
      <c r="D175" s="303"/>
      <c r="E175" s="300"/>
      <c r="F175" s="300"/>
      <c r="G175" s="301"/>
    </row>
    <row r="176" spans="1:7" s="315" customFormat="1" ht="24" customHeight="1">
      <c r="A176" s="299"/>
      <c r="B176" s="319"/>
      <c r="C176" s="314"/>
      <c r="D176" s="303"/>
      <c r="E176" s="300"/>
      <c r="F176" s="300"/>
      <c r="G176" s="301"/>
    </row>
    <row r="177" spans="1:11" s="315" customFormat="1" ht="24" customHeight="1">
      <c r="A177" s="299"/>
      <c r="B177" s="319"/>
      <c r="C177" s="314"/>
      <c r="D177" s="303"/>
      <c r="E177" s="300"/>
      <c r="F177" s="300"/>
      <c r="G177" s="301"/>
    </row>
    <row r="178" spans="1:11" s="315" customFormat="1" ht="24" customHeight="1">
      <c r="A178" s="299"/>
      <c r="B178" s="319"/>
      <c r="C178" s="314"/>
      <c r="D178" s="303"/>
      <c r="E178" s="300"/>
      <c r="F178" s="300"/>
      <c r="G178" s="301"/>
    </row>
    <row r="179" spans="1:11" s="315" customFormat="1" ht="24" customHeight="1">
      <c r="A179" s="299"/>
      <c r="B179" s="319"/>
      <c r="C179" s="314"/>
      <c r="D179" s="303"/>
      <c r="E179" s="300"/>
      <c r="F179" s="300"/>
      <c r="G179" s="301"/>
    </row>
    <row r="180" spans="1:11" s="315" customFormat="1" ht="24" customHeight="1">
      <c r="A180" s="299"/>
      <c r="B180" s="319"/>
      <c r="C180" s="314"/>
      <c r="D180" s="303"/>
      <c r="E180" s="300"/>
      <c r="F180" s="300"/>
      <c r="G180" s="301"/>
      <c r="H180" s="325"/>
      <c r="I180" s="325"/>
      <c r="J180" s="325"/>
    </row>
    <row r="181" spans="1:11" s="315" customFormat="1" ht="24" customHeight="1">
      <c r="A181" s="299"/>
      <c r="B181" s="319"/>
      <c r="C181" s="314"/>
      <c r="D181" s="303"/>
      <c r="E181" s="300"/>
      <c r="F181" s="300"/>
      <c r="G181" s="301"/>
      <c r="H181" s="325"/>
      <c r="I181" s="325"/>
      <c r="J181" s="325"/>
    </row>
    <row r="182" spans="1:11" s="315" customFormat="1" ht="24" customHeight="1">
      <c r="A182" s="299"/>
      <c r="B182" s="319"/>
      <c r="C182" s="314"/>
      <c r="D182" s="303"/>
      <c r="E182" s="300"/>
      <c r="F182" s="300"/>
      <c r="G182" s="301"/>
      <c r="H182" s="325"/>
      <c r="I182" s="325"/>
      <c r="J182" s="325"/>
      <c r="K182" s="325"/>
    </row>
    <row r="183" spans="1:11" s="315" customFormat="1" ht="24" customHeight="1">
      <c r="A183" s="299"/>
      <c r="B183" s="319"/>
      <c r="C183" s="314"/>
      <c r="D183" s="303"/>
      <c r="E183" s="300"/>
      <c r="F183" s="300"/>
      <c r="G183" s="301"/>
      <c r="H183" s="325"/>
      <c r="I183" s="325"/>
      <c r="J183" s="325"/>
      <c r="K183" s="325"/>
    </row>
    <row r="184" spans="1:11" s="315" customFormat="1" ht="24" customHeight="1">
      <c r="A184" s="299"/>
      <c r="B184" s="319"/>
      <c r="C184" s="314"/>
      <c r="D184" s="303"/>
      <c r="E184" s="300"/>
      <c r="F184" s="300"/>
      <c r="G184" s="301"/>
      <c r="H184" s="325"/>
      <c r="I184" s="325"/>
      <c r="J184" s="325"/>
      <c r="K184" s="325"/>
    </row>
    <row r="185" spans="1:11" s="325" customFormat="1" ht="24" customHeight="1">
      <c r="A185" s="299"/>
      <c r="B185" s="319"/>
      <c r="C185" s="314"/>
      <c r="D185" s="303"/>
      <c r="E185" s="300"/>
      <c r="F185" s="300"/>
      <c r="G185" s="301"/>
    </row>
    <row r="186" spans="1:11" s="325" customFormat="1" ht="24" customHeight="1">
      <c r="A186" s="299"/>
      <c r="B186" s="319"/>
      <c r="C186" s="314"/>
      <c r="D186" s="303"/>
      <c r="E186" s="300"/>
      <c r="F186" s="300"/>
      <c r="G186" s="301"/>
    </row>
    <row r="187" spans="1:11" s="325" customFormat="1" ht="24" customHeight="1">
      <c r="A187" s="299"/>
      <c r="B187" s="319"/>
      <c r="C187" s="314"/>
      <c r="D187" s="303"/>
      <c r="E187" s="300"/>
      <c r="F187" s="300"/>
      <c r="G187" s="301"/>
    </row>
    <row r="188" spans="1:11" s="325" customFormat="1" ht="24" customHeight="1">
      <c r="A188" s="299"/>
      <c r="B188" s="319"/>
      <c r="C188" s="314"/>
      <c r="D188" s="303"/>
      <c r="E188" s="300"/>
      <c r="F188" s="300"/>
      <c r="G188" s="301"/>
    </row>
    <row r="189" spans="1:11" s="325" customFormat="1" ht="24" customHeight="1">
      <c r="A189" s="299"/>
      <c r="B189" s="319"/>
      <c r="C189" s="314"/>
      <c r="D189" s="303"/>
      <c r="E189" s="300"/>
      <c r="F189" s="300"/>
      <c r="G189" s="301"/>
    </row>
    <row r="190" spans="1:11" s="325" customFormat="1" ht="24" customHeight="1">
      <c r="A190" s="299"/>
      <c r="B190" s="319"/>
      <c r="C190" s="314"/>
      <c r="D190" s="303"/>
      <c r="E190" s="300"/>
      <c r="F190" s="300"/>
      <c r="G190" s="301"/>
    </row>
    <row r="191" spans="1:11" s="325" customFormat="1" ht="24" customHeight="1">
      <c r="A191" s="299"/>
      <c r="B191" s="319"/>
      <c r="C191" s="314"/>
      <c r="D191" s="303"/>
      <c r="E191" s="300"/>
      <c r="F191" s="300"/>
      <c r="G191" s="301"/>
    </row>
    <row r="192" spans="1:11" s="325" customFormat="1" ht="24" customHeight="1">
      <c r="A192" s="299"/>
      <c r="B192" s="319"/>
      <c r="C192" s="314"/>
      <c r="D192" s="303"/>
      <c r="E192" s="300"/>
      <c r="F192" s="300"/>
      <c r="G192" s="301"/>
    </row>
    <row r="193" spans="1:11" s="325" customFormat="1" ht="24" customHeight="1">
      <c r="A193" s="299"/>
      <c r="B193" s="319"/>
      <c r="C193" s="314"/>
      <c r="D193" s="303"/>
      <c r="E193" s="300"/>
      <c r="F193" s="300"/>
      <c r="G193" s="301"/>
    </row>
    <row r="194" spans="1:11" s="325" customFormat="1" ht="24" customHeight="1">
      <c r="A194" s="299"/>
      <c r="B194" s="319"/>
      <c r="C194" s="314"/>
      <c r="D194" s="303"/>
      <c r="E194" s="300"/>
      <c r="F194" s="300"/>
      <c r="G194" s="301"/>
    </row>
    <row r="195" spans="1:11" s="325" customFormat="1" ht="24" customHeight="1">
      <c r="A195" s="299"/>
      <c r="B195" s="319"/>
      <c r="C195" s="314"/>
      <c r="D195" s="303"/>
      <c r="E195" s="300"/>
      <c r="F195" s="300"/>
      <c r="G195" s="301"/>
    </row>
    <row r="196" spans="1:11" s="325" customFormat="1" ht="24" customHeight="1">
      <c r="A196" s="299"/>
      <c r="B196" s="319"/>
      <c r="C196" s="314"/>
      <c r="D196" s="303"/>
      <c r="E196" s="300"/>
      <c r="F196" s="300"/>
      <c r="G196" s="301"/>
      <c r="H196" s="315"/>
      <c r="I196" s="315"/>
      <c r="J196" s="315"/>
    </row>
    <row r="197" spans="1:11" s="325" customFormat="1" ht="24" customHeight="1">
      <c r="A197" s="299"/>
      <c r="B197" s="319"/>
      <c r="C197" s="314"/>
      <c r="D197" s="303"/>
      <c r="E197" s="300"/>
      <c r="F197" s="300"/>
      <c r="G197" s="301"/>
      <c r="H197" s="315"/>
      <c r="I197" s="315"/>
      <c r="J197" s="315"/>
    </row>
    <row r="198" spans="1:11" s="325" customFormat="1" ht="24" customHeight="1">
      <c r="A198" s="299"/>
      <c r="B198" s="319"/>
      <c r="C198" s="314"/>
      <c r="D198" s="303"/>
      <c r="E198" s="300"/>
      <c r="F198" s="300"/>
      <c r="G198" s="301"/>
      <c r="H198" s="315"/>
      <c r="I198" s="315"/>
      <c r="J198" s="315"/>
      <c r="K198" s="315"/>
    </row>
    <row r="199" spans="1:11" s="325" customFormat="1" ht="24" customHeight="1">
      <c r="A199" s="299"/>
      <c r="B199" s="319"/>
      <c r="C199" s="314"/>
      <c r="D199" s="303"/>
      <c r="E199" s="300"/>
      <c r="F199" s="300"/>
      <c r="G199" s="301"/>
      <c r="H199" s="315"/>
      <c r="I199" s="315"/>
      <c r="J199" s="315"/>
      <c r="K199" s="315"/>
    </row>
    <row r="200" spans="1:11" s="325" customFormat="1" ht="24" customHeight="1">
      <c r="A200" s="299"/>
      <c r="B200" s="319"/>
      <c r="C200" s="314"/>
      <c r="D200" s="303"/>
      <c r="E200" s="300"/>
      <c r="F200" s="300"/>
      <c r="G200" s="301"/>
      <c r="H200" s="315"/>
      <c r="I200" s="315"/>
      <c r="J200" s="315"/>
      <c r="K200" s="315"/>
    </row>
    <row r="201" spans="1:11" s="315" customFormat="1" ht="24" customHeight="1">
      <c r="A201" s="299"/>
      <c r="B201" s="319"/>
      <c r="C201" s="314"/>
      <c r="D201" s="303"/>
      <c r="E201" s="300"/>
      <c r="F201" s="300"/>
      <c r="G201" s="301"/>
    </row>
    <row r="202" spans="1:11" s="315" customFormat="1" ht="24" customHeight="1">
      <c r="A202" s="299"/>
      <c r="B202" s="319"/>
      <c r="C202" s="314"/>
      <c r="D202" s="303"/>
      <c r="E202" s="300"/>
      <c r="F202" s="300"/>
      <c r="G202" s="301"/>
    </row>
    <row r="203" spans="1:11" s="315" customFormat="1" ht="24" customHeight="1">
      <c r="A203" s="299"/>
      <c r="B203" s="319"/>
      <c r="C203" s="314"/>
      <c r="D203" s="303"/>
      <c r="E203" s="300"/>
      <c r="F203" s="300"/>
      <c r="G203" s="301"/>
    </row>
    <row r="204" spans="1:11" s="315" customFormat="1" ht="24" customHeight="1">
      <c r="A204" s="299"/>
      <c r="B204" s="319"/>
      <c r="C204" s="314"/>
      <c r="D204" s="303"/>
      <c r="E204" s="300"/>
      <c r="F204" s="300"/>
      <c r="G204" s="301"/>
    </row>
    <row r="205" spans="1:11" s="315" customFormat="1" ht="24" customHeight="1">
      <c r="A205" s="299"/>
      <c r="B205" s="319"/>
      <c r="C205" s="314"/>
      <c r="D205" s="303"/>
      <c r="E205" s="300"/>
      <c r="F205" s="300"/>
      <c r="G205" s="301"/>
    </row>
    <row r="206" spans="1:11" s="315" customFormat="1" ht="24" customHeight="1">
      <c r="A206" s="299"/>
      <c r="B206" s="319"/>
      <c r="C206" s="314"/>
      <c r="D206" s="303"/>
      <c r="E206" s="300"/>
      <c r="F206" s="300"/>
      <c r="G206" s="301"/>
    </row>
    <row r="207" spans="1:11" s="315" customFormat="1" ht="24" customHeight="1">
      <c r="A207" s="299"/>
      <c r="B207" s="319"/>
      <c r="C207" s="314"/>
      <c r="D207" s="303"/>
      <c r="E207" s="300"/>
      <c r="F207" s="300"/>
      <c r="G207" s="301"/>
    </row>
    <row r="208" spans="1:11" s="315" customFormat="1" ht="24" customHeight="1">
      <c r="A208" s="299"/>
      <c r="B208" s="319"/>
      <c r="C208" s="314"/>
      <c r="D208" s="303"/>
      <c r="E208" s="300"/>
      <c r="F208" s="300"/>
      <c r="G208" s="301"/>
    </row>
    <row r="209" spans="1:11" s="315" customFormat="1" ht="24" customHeight="1">
      <c r="A209" s="299"/>
      <c r="B209" s="319"/>
      <c r="C209" s="314"/>
      <c r="D209" s="303"/>
      <c r="E209" s="300"/>
      <c r="F209" s="300"/>
      <c r="G209" s="301"/>
    </row>
    <row r="210" spans="1:11" s="315" customFormat="1" ht="24" customHeight="1">
      <c r="A210" s="299"/>
      <c r="B210" s="319"/>
      <c r="C210" s="314"/>
      <c r="D210" s="303"/>
      <c r="E210" s="300"/>
      <c r="F210" s="300"/>
      <c r="G210" s="301"/>
    </row>
    <row r="211" spans="1:11" s="315" customFormat="1" ht="24" customHeight="1">
      <c r="A211" s="299"/>
      <c r="B211" s="319"/>
      <c r="C211" s="314"/>
      <c r="D211" s="303"/>
      <c r="E211" s="300"/>
      <c r="F211" s="300"/>
      <c r="G211" s="301"/>
    </row>
    <row r="212" spans="1:11" s="315" customFormat="1" ht="24" customHeight="1">
      <c r="A212" s="299"/>
      <c r="B212" s="319"/>
      <c r="C212" s="314"/>
      <c r="D212" s="303"/>
      <c r="E212" s="300"/>
      <c r="F212" s="300"/>
      <c r="G212" s="301"/>
      <c r="H212" s="315" t="e">
        <f>#REF!*0.005</f>
        <v>#REF!</v>
      </c>
    </row>
    <row r="213" spans="1:11" s="315" customFormat="1" ht="24" customHeight="1">
      <c r="A213" s="299"/>
      <c r="B213" s="319"/>
      <c r="C213" s="314"/>
      <c r="D213" s="303"/>
      <c r="E213" s="300"/>
      <c r="F213" s="300"/>
      <c r="G213" s="301"/>
    </row>
    <row r="214" spans="1:11" s="315" customFormat="1" ht="24" customHeight="1">
      <c r="A214" s="299"/>
      <c r="B214" s="319"/>
      <c r="C214" s="314"/>
      <c r="D214" s="303"/>
      <c r="E214" s="300"/>
      <c r="F214" s="300"/>
      <c r="G214" s="301"/>
    </row>
    <row r="215" spans="1:11" s="315" customFormat="1" ht="24" customHeight="1">
      <c r="A215" s="299"/>
      <c r="B215" s="319"/>
      <c r="C215" s="314"/>
      <c r="D215" s="303"/>
      <c r="E215" s="300"/>
      <c r="F215" s="300"/>
      <c r="G215" s="301"/>
    </row>
    <row r="216" spans="1:11" s="315" customFormat="1" ht="24" customHeight="1">
      <c r="A216" s="299"/>
      <c r="B216" s="319"/>
      <c r="C216" s="314"/>
      <c r="D216" s="303"/>
      <c r="E216" s="300"/>
      <c r="F216" s="300"/>
      <c r="G216" s="301"/>
    </row>
    <row r="217" spans="1:11" s="315" customFormat="1" ht="24" customHeight="1">
      <c r="A217" s="299"/>
      <c r="B217" s="319"/>
      <c r="C217" s="314"/>
      <c r="D217" s="303"/>
      <c r="E217" s="300"/>
      <c r="F217" s="300"/>
      <c r="G217" s="301"/>
    </row>
    <row r="218" spans="1:11" s="315" customFormat="1" ht="24" customHeight="1">
      <c r="A218" s="299"/>
      <c r="B218" s="319"/>
      <c r="C218" s="314"/>
      <c r="D218" s="303"/>
      <c r="E218" s="300"/>
      <c r="F218" s="300"/>
      <c r="G218" s="301"/>
      <c r="H218" s="316"/>
      <c r="I218" s="316"/>
      <c r="J218" s="316"/>
    </row>
    <row r="219" spans="1:11" s="315" customFormat="1" ht="24" customHeight="1">
      <c r="A219" s="299"/>
      <c r="B219" s="319"/>
      <c r="C219" s="314"/>
      <c r="D219" s="303"/>
      <c r="E219" s="300"/>
      <c r="F219" s="300"/>
      <c r="G219" s="301"/>
    </row>
    <row r="220" spans="1:11" s="315" customFormat="1" ht="24" customHeight="1">
      <c r="A220" s="299"/>
      <c r="B220" s="319"/>
      <c r="C220" s="314"/>
      <c r="D220" s="303"/>
      <c r="E220" s="300"/>
      <c r="F220" s="300"/>
      <c r="G220" s="301"/>
      <c r="K220" s="316"/>
    </row>
    <row r="221" spans="1:11" s="315" customFormat="1" ht="24" customHeight="1">
      <c r="A221" s="299"/>
      <c r="B221" s="319"/>
      <c r="C221" s="314"/>
      <c r="D221" s="303"/>
      <c r="E221" s="300"/>
      <c r="F221" s="300"/>
      <c r="G221" s="301"/>
    </row>
    <row r="222" spans="1:11" s="315" customFormat="1" ht="24" customHeight="1">
      <c r="A222" s="299"/>
      <c r="B222" s="319"/>
      <c r="C222" s="314"/>
      <c r="D222" s="303"/>
      <c r="E222" s="300"/>
      <c r="F222" s="300"/>
      <c r="G222" s="301"/>
      <c r="H222" s="316"/>
      <c r="I222" s="316"/>
      <c r="J222" s="316"/>
    </row>
    <row r="223" spans="1:11" s="316" customFormat="1" ht="24" customHeight="1">
      <c r="A223" s="299"/>
      <c r="B223" s="319"/>
      <c r="C223" s="314"/>
      <c r="D223" s="303"/>
      <c r="E223" s="300"/>
      <c r="F223" s="300"/>
      <c r="G223" s="301"/>
      <c r="K223" s="315"/>
    </row>
    <row r="224" spans="1:11" s="315" customFormat="1" ht="24" customHeight="1">
      <c r="A224" s="299"/>
      <c r="B224" s="319"/>
      <c r="C224" s="314"/>
      <c r="D224" s="303"/>
      <c r="E224" s="300"/>
      <c r="F224" s="300"/>
      <c r="G224" s="301"/>
      <c r="K224" s="316"/>
    </row>
    <row r="225" spans="1:11" s="315" customFormat="1" ht="24" customHeight="1">
      <c r="A225" s="299"/>
      <c r="B225" s="319"/>
      <c r="C225" s="314"/>
      <c r="D225" s="303"/>
      <c r="E225" s="300"/>
      <c r="F225" s="300"/>
      <c r="G225" s="301"/>
      <c r="K225" s="316"/>
    </row>
    <row r="226" spans="1:11" s="315" customFormat="1" ht="24" customHeight="1">
      <c r="A226" s="299"/>
      <c r="B226" s="319"/>
      <c r="C226" s="314"/>
      <c r="D226" s="303"/>
      <c r="E226" s="300"/>
      <c r="F226" s="300"/>
      <c r="G226" s="301"/>
    </row>
    <row r="227" spans="1:11" s="316" customFormat="1" ht="24" customHeight="1">
      <c r="A227" s="299"/>
      <c r="B227" s="319"/>
      <c r="C227" s="314"/>
      <c r="D227" s="303"/>
      <c r="E227" s="300"/>
      <c r="F227" s="300"/>
      <c r="G227" s="301"/>
      <c r="H227" s="302"/>
      <c r="I227" s="302"/>
      <c r="J227" s="302"/>
      <c r="K227" s="315"/>
    </row>
    <row r="228" spans="1:11" s="316" customFormat="1" ht="24" customHeight="1">
      <c r="A228" s="299"/>
      <c r="B228" s="319"/>
      <c r="C228" s="314"/>
      <c r="D228" s="303"/>
      <c r="E228" s="300"/>
      <c r="F228" s="300"/>
      <c r="G228" s="301"/>
      <c r="H228" s="302"/>
      <c r="I228" s="302"/>
      <c r="J228" s="302"/>
      <c r="K228" s="315"/>
    </row>
    <row r="229" spans="1:11" s="315" customFormat="1" ht="24" customHeight="1">
      <c r="A229" s="299"/>
      <c r="B229" s="319"/>
      <c r="C229" s="314"/>
      <c r="D229" s="303"/>
      <c r="E229" s="300"/>
      <c r="F229" s="300"/>
      <c r="G229" s="301"/>
      <c r="H229" s="302"/>
      <c r="I229" s="302"/>
      <c r="J229" s="302"/>
      <c r="K229" s="302"/>
    </row>
    <row r="230" spans="1:11" s="315" customFormat="1" ht="24" customHeight="1">
      <c r="A230" s="299"/>
      <c r="B230" s="319"/>
      <c r="C230" s="314"/>
      <c r="D230" s="303"/>
      <c r="E230" s="300"/>
      <c r="F230" s="300"/>
      <c r="G230" s="301"/>
      <c r="H230" s="302"/>
      <c r="I230" s="302"/>
      <c r="J230" s="302"/>
      <c r="K230" s="302"/>
    </row>
    <row r="231" spans="1:11" s="315" customFormat="1" ht="24" customHeight="1">
      <c r="A231" s="299"/>
      <c r="B231" s="319"/>
      <c r="C231" s="314"/>
      <c r="D231" s="303"/>
      <c r="E231" s="300"/>
      <c r="F231" s="300"/>
      <c r="G231" s="301"/>
      <c r="H231" s="302"/>
      <c r="I231" s="302"/>
      <c r="J231" s="302"/>
      <c r="K231" s="302"/>
    </row>
    <row r="238" spans="1:11" ht="24" customHeight="1">
      <c r="H238" s="326"/>
      <c r="I238" s="326"/>
      <c r="J238" s="326"/>
    </row>
    <row r="240" spans="1:11" ht="24" customHeight="1">
      <c r="K240" s="326"/>
    </row>
    <row r="243" spans="1:11" s="326" customFormat="1" ht="24" customHeight="1">
      <c r="A243" s="299"/>
      <c r="B243" s="319"/>
      <c r="C243" s="314"/>
      <c r="D243" s="303"/>
      <c r="E243" s="300"/>
      <c r="F243" s="300"/>
      <c r="G243" s="301"/>
      <c r="H243" s="302"/>
      <c r="I243" s="302"/>
      <c r="J243" s="302"/>
      <c r="K243" s="302"/>
    </row>
    <row r="249" spans="1:11" ht="24" customHeight="1">
      <c r="H249" s="315"/>
      <c r="I249" s="315"/>
      <c r="J249" s="315"/>
    </row>
    <row r="250" spans="1:11" ht="24" customHeight="1">
      <c r="H250" s="315"/>
      <c r="I250" s="315"/>
      <c r="J250" s="315"/>
    </row>
    <row r="251" spans="1:11" ht="24" customHeight="1">
      <c r="H251" s="315"/>
      <c r="I251" s="315"/>
      <c r="J251" s="315"/>
      <c r="K251" s="315"/>
    </row>
    <row r="252" spans="1:11" ht="24" customHeight="1">
      <c r="H252" s="315"/>
      <c r="I252" s="315"/>
      <c r="J252" s="315"/>
      <c r="K252" s="315"/>
    </row>
    <row r="253" spans="1:11" ht="24" customHeight="1">
      <c r="H253" s="315"/>
      <c r="I253" s="315"/>
      <c r="J253" s="315"/>
      <c r="K253" s="315"/>
    </row>
    <row r="254" spans="1:11" s="315" customFormat="1" ht="24" customHeight="1">
      <c r="A254" s="299"/>
      <c r="B254" s="319"/>
      <c r="C254" s="314"/>
      <c r="D254" s="303"/>
      <c r="E254" s="300"/>
      <c r="F254" s="300"/>
      <c r="G254" s="301"/>
    </row>
    <row r="255" spans="1:11" s="315" customFormat="1" ht="24" customHeight="1">
      <c r="A255" s="299"/>
      <c r="B255" s="319"/>
      <c r="C255" s="314"/>
      <c r="D255" s="303"/>
      <c r="E255" s="300"/>
      <c r="F255" s="300"/>
      <c r="G255" s="301"/>
    </row>
    <row r="256" spans="1:11" s="315" customFormat="1" ht="24" customHeight="1">
      <c r="A256" s="299"/>
      <c r="B256" s="319"/>
      <c r="C256" s="314"/>
      <c r="D256" s="303"/>
      <c r="E256" s="300"/>
      <c r="F256" s="300"/>
      <c r="G256" s="301"/>
    </row>
    <row r="257" spans="1:11" s="315" customFormat="1" ht="24" customHeight="1">
      <c r="A257" s="299"/>
      <c r="B257" s="319"/>
      <c r="C257" s="314"/>
      <c r="D257" s="303"/>
      <c r="E257" s="300"/>
      <c r="F257" s="300"/>
      <c r="G257" s="301"/>
    </row>
    <row r="258" spans="1:11" s="315" customFormat="1" ht="24" customHeight="1">
      <c r="A258" s="299"/>
      <c r="B258" s="319"/>
      <c r="C258" s="314"/>
      <c r="D258" s="303"/>
      <c r="E258" s="300"/>
      <c r="F258" s="300"/>
      <c r="G258" s="301"/>
    </row>
    <row r="259" spans="1:11" s="315" customFormat="1" ht="24" customHeight="1">
      <c r="A259" s="299"/>
      <c r="B259" s="319"/>
      <c r="C259" s="314"/>
      <c r="D259" s="303"/>
      <c r="E259" s="300"/>
      <c r="F259" s="300"/>
      <c r="G259" s="301"/>
    </row>
    <row r="260" spans="1:11" s="315" customFormat="1" ht="24" customHeight="1">
      <c r="A260" s="299"/>
      <c r="B260" s="319"/>
      <c r="C260" s="314"/>
      <c r="D260" s="303"/>
      <c r="E260" s="300"/>
      <c r="F260" s="300"/>
      <c r="G260" s="301"/>
      <c r="H260" s="302"/>
      <c r="I260" s="302"/>
      <c r="J260" s="302"/>
    </row>
    <row r="261" spans="1:11" s="315" customFormat="1" ht="24" customHeight="1">
      <c r="A261" s="299"/>
      <c r="B261" s="319"/>
      <c r="C261" s="314"/>
      <c r="D261" s="303"/>
      <c r="E261" s="300"/>
      <c r="F261" s="300"/>
      <c r="G261" s="301"/>
      <c r="H261" s="302"/>
      <c r="I261" s="302"/>
      <c r="J261" s="302"/>
    </row>
    <row r="262" spans="1:11" s="315" customFormat="1" ht="24" customHeight="1">
      <c r="A262" s="299"/>
      <c r="B262" s="319"/>
      <c r="C262" s="314"/>
      <c r="D262" s="303"/>
      <c r="E262" s="300"/>
      <c r="F262" s="300"/>
      <c r="G262" s="301"/>
      <c r="K262" s="302"/>
    </row>
    <row r="263" spans="1:11" s="315" customFormat="1" ht="24" customHeight="1">
      <c r="A263" s="299"/>
      <c r="B263" s="319"/>
      <c r="C263" s="314"/>
      <c r="D263" s="303"/>
      <c r="E263" s="300"/>
      <c r="F263" s="300"/>
      <c r="G263" s="301"/>
      <c r="K263" s="302"/>
    </row>
    <row r="264" spans="1:11" s="315" customFormat="1" ht="24" customHeight="1">
      <c r="A264" s="299"/>
      <c r="B264" s="319"/>
      <c r="C264" s="314"/>
      <c r="D264" s="303"/>
      <c r="E264" s="300"/>
      <c r="F264" s="300"/>
      <c r="G264" s="301"/>
    </row>
    <row r="265" spans="1:11" ht="24" customHeight="1">
      <c r="K265" s="315"/>
    </row>
    <row r="266" spans="1:11" ht="24" customHeight="1">
      <c r="K266" s="315"/>
    </row>
    <row r="267" spans="1:11" s="315" customFormat="1" ht="24" customHeight="1">
      <c r="A267" s="299"/>
      <c r="B267" s="319"/>
      <c r="C267" s="314"/>
      <c r="D267" s="303"/>
      <c r="E267" s="300"/>
      <c r="F267" s="300"/>
      <c r="G267" s="301"/>
      <c r="H267" s="302"/>
      <c r="I267" s="302"/>
      <c r="J267" s="302"/>
      <c r="K267" s="302"/>
    </row>
    <row r="268" spans="1:11" s="315" customFormat="1" ht="24" customHeight="1">
      <c r="A268" s="299"/>
      <c r="B268" s="319"/>
      <c r="C268" s="314"/>
      <c r="D268" s="303"/>
      <c r="E268" s="300"/>
      <c r="F268" s="300"/>
      <c r="G268" s="301"/>
      <c r="H268" s="327"/>
      <c r="I268" s="327"/>
      <c r="J268" s="327"/>
      <c r="K268" s="302"/>
    </row>
    <row r="269" spans="1:11" s="315" customFormat="1" ht="24" customHeight="1">
      <c r="A269" s="299"/>
      <c r="B269" s="319"/>
      <c r="C269" s="314"/>
      <c r="D269" s="303"/>
      <c r="E269" s="300"/>
      <c r="F269" s="300"/>
      <c r="G269" s="301"/>
      <c r="H269" s="327"/>
      <c r="I269" s="327"/>
      <c r="J269" s="327"/>
      <c r="K269" s="302"/>
    </row>
    <row r="270" spans="1:11" ht="24" customHeight="1">
      <c r="H270" s="328"/>
      <c r="I270" s="328"/>
      <c r="J270" s="328"/>
      <c r="K270" s="327"/>
    </row>
    <row r="271" spans="1:11" ht="24" customHeight="1">
      <c r="H271" s="328"/>
      <c r="I271" s="328"/>
      <c r="J271" s="328"/>
      <c r="K271" s="327"/>
    </row>
    <row r="272" spans="1:11" ht="24" customHeight="1">
      <c r="H272" s="328"/>
      <c r="I272" s="328"/>
      <c r="J272" s="328"/>
      <c r="K272" s="328"/>
    </row>
    <row r="273" spans="1:185" s="327" customFormat="1" ht="24" customHeight="1">
      <c r="A273" s="299"/>
      <c r="B273" s="319"/>
      <c r="C273" s="314"/>
      <c r="D273" s="303"/>
      <c r="E273" s="300"/>
      <c r="F273" s="300"/>
      <c r="G273" s="301"/>
      <c r="H273" s="328"/>
      <c r="I273" s="328"/>
      <c r="J273" s="328"/>
      <c r="K273" s="328"/>
    </row>
    <row r="274" spans="1:185" s="327" customFormat="1" ht="24" customHeight="1">
      <c r="A274" s="299"/>
      <c r="B274" s="319"/>
      <c r="C274" s="314"/>
      <c r="D274" s="303"/>
      <c r="E274" s="300"/>
      <c r="F274" s="300"/>
      <c r="G274" s="301"/>
      <c r="H274" s="328"/>
      <c r="I274" s="328"/>
      <c r="J274" s="328"/>
      <c r="K274" s="328"/>
    </row>
    <row r="275" spans="1:185" ht="24" customHeight="1"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AR275" s="328"/>
      <c r="AS275" s="328"/>
      <c r="AT275" s="328"/>
      <c r="AU275" s="328"/>
      <c r="AV275" s="328"/>
      <c r="AW275" s="328"/>
      <c r="AX275" s="328"/>
      <c r="AY275" s="328"/>
      <c r="AZ275" s="328"/>
      <c r="BA275" s="328"/>
      <c r="BB275" s="328"/>
      <c r="BC275" s="328"/>
      <c r="BD275" s="328"/>
      <c r="BE275" s="328"/>
      <c r="BF275" s="328"/>
      <c r="BG275" s="328"/>
      <c r="BH275" s="328"/>
      <c r="BI275" s="328"/>
      <c r="BJ275" s="328"/>
      <c r="BK275" s="328"/>
      <c r="BL275" s="328"/>
      <c r="BM275" s="328"/>
      <c r="BN275" s="328"/>
      <c r="BO275" s="328"/>
      <c r="BP275" s="328"/>
      <c r="BQ275" s="328"/>
      <c r="BR275" s="328"/>
      <c r="BS275" s="328"/>
      <c r="BT275" s="328"/>
      <c r="BU275" s="328"/>
      <c r="BV275" s="328"/>
      <c r="BW275" s="328"/>
      <c r="BX275" s="328"/>
      <c r="BY275" s="328"/>
      <c r="BZ275" s="328"/>
      <c r="CA275" s="328"/>
      <c r="CB275" s="328"/>
      <c r="CC275" s="328"/>
      <c r="CD275" s="328"/>
      <c r="CE275" s="328"/>
      <c r="CF275" s="328"/>
      <c r="CG275" s="328"/>
      <c r="CH275" s="328"/>
      <c r="CI275" s="328"/>
      <c r="CJ275" s="328"/>
      <c r="CK275" s="328"/>
      <c r="CL275" s="328"/>
      <c r="CM275" s="328"/>
      <c r="CN275" s="328"/>
      <c r="CO275" s="328"/>
      <c r="CP275" s="328"/>
      <c r="CQ275" s="328"/>
      <c r="CR275" s="328"/>
      <c r="CS275" s="328"/>
      <c r="CT275" s="328"/>
      <c r="CU275" s="328"/>
      <c r="CV275" s="328"/>
      <c r="CW275" s="328"/>
      <c r="CX275" s="328"/>
      <c r="CY275" s="328"/>
      <c r="CZ275" s="328"/>
      <c r="DA275" s="328"/>
      <c r="DB275" s="328"/>
      <c r="DC275" s="328"/>
      <c r="DD275" s="328"/>
      <c r="DE275" s="328"/>
      <c r="DF275" s="328"/>
      <c r="DG275" s="328"/>
      <c r="DH275" s="328"/>
      <c r="DI275" s="328"/>
      <c r="DJ275" s="328"/>
      <c r="DK275" s="328"/>
      <c r="DL275" s="328"/>
      <c r="DM275" s="328"/>
      <c r="DN275" s="328"/>
      <c r="DO275" s="328"/>
      <c r="DP275" s="328"/>
      <c r="DQ275" s="328"/>
      <c r="DR275" s="328"/>
      <c r="DS275" s="328"/>
      <c r="DT275" s="328"/>
      <c r="DU275" s="328"/>
      <c r="DV275" s="328"/>
      <c r="DW275" s="328"/>
      <c r="DX275" s="328"/>
      <c r="DY275" s="328"/>
      <c r="DZ275" s="328"/>
      <c r="EA275" s="328"/>
      <c r="EB275" s="328"/>
      <c r="EC275" s="328"/>
      <c r="ED275" s="328"/>
      <c r="EE275" s="328"/>
      <c r="EF275" s="328"/>
      <c r="EG275" s="328"/>
      <c r="EH275" s="328"/>
      <c r="EI275" s="328"/>
      <c r="EJ275" s="328"/>
      <c r="EK275" s="328"/>
      <c r="EL275" s="328"/>
      <c r="EM275" s="328"/>
      <c r="EN275" s="328"/>
      <c r="EO275" s="328"/>
      <c r="EP275" s="328"/>
      <c r="EQ275" s="328"/>
      <c r="ER275" s="328"/>
      <c r="ES275" s="328"/>
      <c r="ET275" s="328"/>
      <c r="EU275" s="328"/>
      <c r="EV275" s="328"/>
      <c r="EW275" s="328"/>
      <c r="EX275" s="328"/>
      <c r="EY275" s="328"/>
      <c r="EZ275" s="328"/>
      <c r="FA275" s="328"/>
      <c r="FB275" s="328"/>
      <c r="FC275" s="328"/>
      <c r="FD275" s="328"/>
      <c r="FE275" s="328"/>
      <c r="FF275" s="328"/>
      <c r="FG275" s="328"/>
      <c r="FH275" s="328"/>
      <c r="FI275" s="328"/>
      <c r="FJ275" s="328"/>
      <c r="FK275" s="328"/>
      <c r="FL275" s="328"/>
      <c r="FM275" s="328"/>
      <c r="FN275" s="328"/>
      <c r="FO275" s="328"/>
      <c r="FP275" s="328"/>
      <c r="FQ275" s="328"/>
      <c r="FR275" s="328"/>
      <c r="FS275" s="328"/>
      <c r="FT275" s="328"/>
      <c r="FU275" s="328"/>
      <c r="FV275" s="328"/>
      <c r="FW275" s="328"/>
      <c r="FX275" s="328"/>
      <c r="FY275" s="328"/>
      <c r="FZ275" s="328"/>
      <c r="GA275" s="328"/>
      <c r="GB275" s="328"/>
      <c r="GC275" s="328"/>
    </row>
    <row r="276" spans="1:185" ht="24" customHeight="1"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8"/>
      <c r="AW276" s="328"/>
      <c r="AX276" s="328"/>
      <c r="AY276" s="328"/>
      <c r="AZ276" s="328"/>
      <c r="BA276" s="328"/>
      <c r="BB276" s="328"/>
      <c r="BC276" s="328"/>
      <c r="BD276" s="328"/>
      <c r="BE276" s="328"/>
      <c r="BF276" s="328"/>
      <c r="BG276" s="328"/>
      <c r="BH276" s="328"/>
      <c r="BI276" s="328"/>
      <c r="BJ276" s="328"/>
      <c r="BK276" s="328"/>
      <c r="BL276" s="328"/>
      <c r="BM276" s="328"/>
      <c r="BN276" s="328"/>
      <c r="BO276" s="328"/>
      <c r="BP276" s="328"/>
      <c r="BQ276" s="328"/>
      <c r="BR276" s="328"/>
      <c r="BS276" s="328"/>
      <c r="BT276" s="328"/>
      <c r="BU276" s="328"/>
      <c r="BV276" s="328"/>
      <c r="BW276" s="328"/>
      <c r="BX276" s="328"/>
      <c r="BY276" s="328"/>
      <c r="BZ276" s="328"/>
      <c r="CA276" s="328"/>
      <c r="CB276" s="328"/>
      <c r="CC276" s="328"/>
      <c r="CD276" s="328"/>
      <c r="CE276" s="328"/>
      <c r="CF276" s="328"/>
      <c r="CG276" s="328"/>
      <c r="CH276" s="328"/>
      <c r="CI276" s="328"/>
      <c r="CJ276" s="328"/>
      <c r="CK276" s="328"/>
      <c r="CL276" s="328"/>
      <c r="CM276" s="328"/>
      <c r="CN276" s="328"/>
      <c r="CO276" s="328"/>
      <c r="CP276" s="328"/>
      <c r="CQ276" s="328"/>
      <c r="CR276" s="328"/>
      <c r="CS276" s="328"/>
      <c r="CT276" s="328"/>
      <c r="CU276" s="328"/>
      <c r="CV276" s="328"/>
      <c r="CW276" s="328"/>
      <c r="CX276" s="328"/>
      <c r="CY276" s="328"/>
      <c r="CZ276" s="328"/>
      <c r="DA276" s="328"/>
      <c r="DB276" s="328"/>
      <c r="DC276" s="328"/>
      <c r="DD276" s="328"/>
      <c r="DE276" s="328"/>
      <c r="DF276" s="328"/>
      <c r="DG276" s="328"/>
      <c r="DH276" s="328"/>
      <c r="DI276" s="328"/>
      <c r="DJ276" s="328"/>
      <c r="DK276" s="328"/>
      <c r="DL276" s="328"/>
      <c r="DM276" s="328"/>
      <c r="DN276" s="328"/>
      <c r="DO276" s="328"/>
      <c r="DP276" s="328"/>
      <c r="DQ276" s="328"/>
      <c r="DR276" s="328"/>
      <c r="DS276" s="328"/>
      <c r="DT276" s="328"/>
      <c r="DU276" s="328"/>
      <c r="DV276" s="328"/>
      <c r="DW276" s="328"/>
      <c r="DX276" s="328"/>
      <c r="DY276" s="328"/>
      <c r="DZ276" s="328"/>
      <c r="EA276" s="328"/>
      <c r="EB276" s="328"/>
      <c r="EC276" s="328"/>
      <c r="ED276" s="328"/>
      <c r="EE276" s="328"/>
      <c r="EF276" s="328"/>
      <c r="EG276" s="328"/>
      <c r="EH276" s="328"/>
      <c r="EI276" s="328"/>
      <c r="EJ276" s="328"/>
      <c r="EK276" s="328"/>
      <c r="EL276" s="328"/>
      <c r="EM276" s="328"/>
      <c r="EN276" s="328"/>
      <c r="EO276" s="328"/>
      <c r="EP276" s="328"/>
      <c r="EQ276" s="328"/>
      <c r="ER276" s="328"/>
      <c r="ES276" s="328"/>
      <c r="ET276" s="328"/>
      <c r="EU276" s="328"/>
      <c r="EV276" s="328"/>
      <c r="EW276" s="328"/>
      <c r="EX276" s="328"/>
      <c r="EY276" s="328"/>
      <c r="EZ276" s="328"/>
      <c r="FA276" s="328"/>
      <c r="FB276" s="328"/>
      <c r="FC276" s="328"/>
      <c r="FD276" s="328"/>
      <c r="FE276" s="328"/>
      <c r="FF276" s="328"/>
      <c r="FG276" s="328"/>
      <c r="FH276" s="328"/>
      <c r="FI276" s="328"/>
      <c r="FJ276" s="328"/>
      <c r="FK276" s="328"/>
      <c r="FL276" s="328"/>
      <c r="FM276" s="328"/>
      <c r="FN276" s="328"/>
      <c r="FO276" s="328"/>
      <c r="FP276" s="328"/>
      <c r="FQ276" s="328"/>
      <c r="FR276" s="328"/>
      <c r="FS276" s="328"/>
      <c r="FT276" s="328"/>
      <c r="FU276" s="328"/>
      <c r="FV276" s="328"/>
      <c r="FW276" s="328"/>
      <c r="FX276" s="328"/>
      <c r="FY276" s="328"/>
      <c r="FZ276" s="328"/>
      <c r="GA276" s="328"/>
      <c r="GB276" s="328"/>
      <c r="GC276" s="328"/>
    </row>
    <row r="277" spans="1:185" ht="24" customHeight="1"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AR277" s="328"/>
      <c r="AS277" s="328"/>
      <c r="AT277" s="328"/>
      <c r="AU277" s="328"/>
      <c r="AV277" s="328"/>
      <c r="AW277" s="328"/>
      <c r="AX277" s="328"/>
      <c r="AY277" s="328"/>
      <c r="AZ277" s="328"/>
      <c r="BA277" s="328"/>
      <c r="BB277" s="328"/>
      <c r="BC277" s="328"/>
      <c r="BD277" s="328"/>
      <c r="BE277" s="328"/>
      <c r="BF277" s="328"/>
      <c r="BG277" s="328"/>
      <c r="BH277" s="328"/>
      <c r="BI277" s="328"/>
      <c r="BJ277" s="328"/>
      <c r="BK277" s="328"/>
      <c r="BL277" s="328"/>
      <c r="BM277" s="328"/>
      <c r="BN277" s="328"/>
      <c r="BO277" s="328"/>
      <c r="BP277" s="328"/>
      <c r="BQ277" s="328"/>
      <c r="BR277" s="328"/>
      <c r="BS277" s="328"/>
      <c r="BT277" s="328"/>
      <c r="BU277" s="328"/>
      <c r="BV277" s="328"/>
      <c r="BW277" s="328"/>
      <c r="BX277" s="328"/>
      <c r="BY277" s="328"/>
      <c r="BZ277" s="328"/>
      <c r="CA277" s="328"/>
      <c r="CB277" s="328"/>
      <c r="CC277" s="328"/>
      <c r="CD277" s="328"/>
      <c r="CE277" s="328"/>
      <c r="CF277" s="328"/>
      <c r="CG277" s="328"/>
      <c r="CH277" s="328"/>
      <c r="CI277" s="328"/>
      <c r="CJ277" s="328"/>
      <c r="CK277" s="328"/>
      <c r="CL277" s="328"/>
      <c r="CM277" s="328"/>
      <c r="CN277" s="328"/>
      <c r="CO277" s="328"/>
      <c r="CP277" s="328"/>
      <c r="CQ277" s="328"/>
      <c r="CR277" s="328"/>
      <c r="CS277" s="328"/>
      <c r="CT277" s="328"/>
      <c r="CU277" s="328"/>
      <c r="CV277" s="328"/>
      <c r="CW277" s="328"/>
      <c r="CX277" s="328"/>
      <c r="CY277" s="328"/>
      <c r="CZ277" s="328"/>
      <c r="DA277" s="328"/>
      <c r="DB277" s="328"/>
      <c r="DC277" s="328"/>
      <c r="DD277" s="328"/>
      <c r="DE277" s="328"/>
      <c r="DF277" s="328"/>
      <c r="DG277" s="328"/>
      <c r="DH277" s="328"/>
      <c r="DI277" s="328"/>
      <c r="DJ277" s="328"/>
      <c r="DK277" s="328"/>
      <c r="DL277" s="328"/>
      <c r="DM277" s="328"/>
      <c r="DN277" s="328"/>
      <c r="DO277" s="328"/>
      <c r="DP277" s="328"/>
      <c r="DQ277" s="328"/>
      <c r="DR277" s="328"/>
      <c r="DS277" s="328"/>
      <c r="DT277" s="328"/>
      <c r="DU277" s="328"/>
      <c r="DV277" s="328"/>
      <c r="DW277" s="328"/>
      <c r="DX277" s="328"/>
      <c r="DY277" s="328"/>
      <c r="DZ277" s="328"/>
      <c r="EA277" s="328"/>
      <c r="EB277" s="328"/>
      <c r="EC277" s="328"/>
      <c r="ED277" s="328"/>
      <c r="EE277" s="328"/>
      <c r="EF277" s="328"/>
      <c r="EG277" s="328"/>
      <c r="EH277" s="328"/>
      <c r="EI277" s="328"/>
      <c r="EJ277" s="328"/>
      <c r="EK277" s="328"/>
      <c r="EL277" s="328"/>
      <c r="EM277" s="328"/>
      <c r="EN277" s="328"/>
      <c r="EO277" s="328"/>
      <c r="EP277" s="328"/>
      <c r="EQ277" s="328"/>
      <c r="ER277" s="328"/>
      <c r="ES277" s="328"/>
      <c r="ET277" s="328"/>
      <c r="EU277" s="328"/>
      <c r="EV277" s="328"/>
      <c r="EW277" s="328"/>
      <c r="EX277" s="328"/>
      <c r="EY277" s="328"/>
      <c r="EZ277" s="328"/>
      <c r="FA277" s="328"/>
      <c r="FB277" s="328"/>
      <c r="FC277" s="328"/>
      <c r="FD277" s="328"/>
      <c r="FE277" s="328"/>
      <c r="FF277" s="328"/>
      <c r="FG277" s="328"/>
      <c r="FH277" s="328"/>
      <c r="FI277" s="328"/>
      <c r="FJ277" s="328"/>
      <c r="FK277" s="328"/>
      <c r="FL277" s="328"/>
      <c r="FM277" s="328"/>
      <c r="FN277" s="328"/>
      <c r="FO277" s="328"/>
      <c r="FP277" s="328"/>
      <c r="FQ277" s="328"/>
      <c r="FR277" s="328"/>
      <c r="FS277" s="328"/>
      <c r="FT277" s="328"/>
      <c r="FU277" s="328"/>
      <c r="FV277" s="328"/>
      <c r="FW277" s="328"/>
      <c r="FX277" s="328"/>
      <c r="FY277" s="328"/>
      <c r="FZ277" s="328"/>
      <c r="GA277" s="328"/>
      <c r="GB277" s="328"/>
      <c r="GC277" s="328"/>
    </row>
    <row r="278" spans="1:185" ht="24" customHeight="1"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  <c r="AI278" s="328"/>
      <c r="AJ278" s="328"/>
      <c r="AK278" s="328"/>
      <c r="AL278" s="328"/>
      <c r="AM278" s="328"/>
      <c r="AN278" s="328"/>
      <c r="AO278" s="328"/>
      <c r="AP278" s="328"/>
      <c r="AQ278" s="328"/>
      <c r="AR278" s="328"/>
      <c r="AS278" s="328"/>
      <c r="AT278" s="328"/>
      <c r="AU278" s="328"/>
      <c r="AV278" s="328"/>
      <c r="AW278" s="328"/>
      <c r="AX278" s="328"/>
      <c r="AY278" s="328"/>
      <c r="AZ278" s="328"/>
      <c r="BA278" s="328"/>
      <c r="BB278" s="328"/>
      <c r="BC278" s="328"/>
      <c r="BD278" s="328"/>
      <c r="BE278" s="328"/>
      <c r="BF278" s="328"/>
      <c r="BG278" s="328"/>
      <c r="BH278" s="328"/>
      <c r="BI278" s="328"/>
      <c r="BJ278" s="328"/>
      <c r="BK278" s="328"/>
      <c r="BL278" s="328"/>
      <c r="BM278" s="328"/>
      <c r="BN278" s="328"/>
      <c r="BO278" s="328"/>
      <c r="BP278" s="328"/>
      <c r="BQ278" s="328"/>
      <c r="BR278" s="328"/>
      <c r="BS278" s="328"/>
      <c r="BT278" s="328"/>
      <c r="BU278" s="328"/>
      <c r="BV278" s="328"/>
      <c r="BW278" s="328"/>
      <c r="BX278" s="328"/>
      <c r="BY278" s="328"/>
      <c r="BZ278" s="328"/>
      <c r="CA278" s="328"/>
      <c r="CB278" s="328"/>
      <c r="CC278" s="328"/>
      <c r="CD278" s="328"/>
      <c r="CE278" s="328"/>
      <c r="CF278" s="328"/>
      <c r="CG278" s="328"/>
      <c r="CH278" s="328"/>
      <c r="CI278" s="328"/>
      <c r="CJ278" s="328"/>
      <c r="CK278" s="328"/>
      <c r="CL278" s="328"/>
      <c r="CM278" s="328"/>
      <c r="CN278" s="328"/>
      <c r="CO278" s="328"/>
      <c r="CP278" s="328"/>
      <c r="CQ278" s="328"/>
      <c r="CR278" s="328"/>
      <c r="CS278" s="328"/>
      <c r="CT278" s="328"/>
      <c r="CU278" s="328"/>
      <c r="CV278" s="328"/>
      <c r="CW278" s="328"/>
      <c r="CX278" s="328"/>
      <c r="CY278" s="328"/>
      <c r="CZ278" s="328"/>
      <c r="DA278" s="328"/>
      <c r="DB278" s="328"/>
      <c r="DC278" s="328"/>
      <c r="DD278" s="328"/>
      <c r="DE278" s="328"/>
      <c r="DF278" s="328"/>
      <c r="DG278" s="328"/>
      <c r="DH278" s="328"/>
      <c r="DI278" s="328"/>
      <c r="DJ278" s="328"/>
      <c r="DK278" s="328"/>
      <c r="DL278" s="328"/>
      <c r="DM278" s="328"/>
      <c r="DN278" s="328"/>
      <c r="DO278" s="328"/>
      <c r="DP278" s="328"/>
      <c r="DQ278" s="328"/>
      <c r="DR278" s="328"/>
      <c r="DS278" s="328"/>
      <c r="DT278" s="328"/>
      <c r="DU278" s="328"/>
      <c r="DV278" s="328"/>
      <c r="DW278" s="328"/>
      <c r="DX278" s="328"/>
      <c r="DY278" s="328"/>
      <c r="DZ278" s="328"/>
      <c r="EA278" s="328"/>
      <c r="EB278" s="328"/>
      <c r="EC278" s="328"/>
      <c r="ED278" s="328"/>
      <c r="EE278" s="328"/>
      <c r="EF278" s="328"/>
      <c r="EG278" s="328"/>
      <c r="EH278" s="328"/>
      <c r="EI278" s="328"/>
      <c r="EJ278" s="328"/>
      <c r="EK278" s="328"/>
      <c r="EL278" s="328"/>
      <c r="EM278" s="328"/>
      <c r="EN278" s="328"/>
      <c r="EO278" s="328"/>
      <c r="EP278" s="328"/>
      <c r="EQ278" s="328"/>
      <c r="ER278" s="328"/>
      <c r="ES278" s="328"/>
      <c r="ET278" s="328"/>
      <c r="EU278" s="328"/>
      <c r="EV278" s="328"/>
      <c r="EW278" s="328"/>
      <c r="EX278" s="328"/>
      <c r="EY278" s="328"/>
      <c r="EZ278" s="328"/>
      <c r="FA278" s="328"/>
      <c r="FB278" s="328"/>
      <c r="FC278" s="328"/>
      <c r="FD278" s="328"/>
      <c r="FE278" s="328"/>
      <c r="FF278" s="328"/>
      <c r="FG278" s="328"/>
      <c r="FH278" s="328"/>
      <c r="FI278" s="328"/>
      <c r="FJ278" s="328"/>
      <c r="FK278" s="328"/>
      <c r="FL278" s="328"/>
      <c r="FM278" s="328"/>
      <c r="FN278" s="328"/>
      <c r="FO278" s="328"/>
      <c r="FP278" s="328"/>
      <c r="FQ278" s="328"/>
      <c r="FR278" s="328"/>
      <c r="FS278" s="328"/>
      <c r="FT278" s="328"/>
      <c r="FU278" s="328"/>
      <c r="FV278" s="328"/>
      <c r="FW278" s="328"/>
      <c r="FX278" s="328"/>
      <c r="FY278" s="328"/>
      <c r="FZ278" s="328"/>
      <c r="GA278" s="328"/>
      <c r="GB278" s="328"/>
      <c r="GC278" s="328"/>
    </row>
    <row r="279" spans="1:185" ht="24" customHeight="1"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  <c r="AI279" s="328"/>
      <c r="AJ279" s="328"/>
      <c r="AK279" s="328"/>
      <c r="AL279" s="328"/>
      <c r="AM279" s="328"/>
      <c r="AN279" s="328"/>
      <c r="AO279" s="328"/>
      <c r="AP279" s="328"/>
      <c r="AQ279" s="328"/>
      <c r="AR279" s="328"/>
      <c r="AS279" s="328"/>
      <c r="AT279" s="328"/>
      <c r="AU279" s="328"/>
      <c r="AV279" s="328"/>
      <c r="AW279" s="328"/>
      <c r="AX279" s="328"/>
      <c r="AY279" s="328"/>
      <c r="AZ279" s="328"/>
      <c r="BA279" s="328"/>
      <c r="BB279" s="328"/>
      <c r="BC279" s="328"/>
      <c r="BD279" s="328"/>
      <c r="BE279" s="328"/>
      <c r="BF279" s="328"/>
      <c r="BG279" s="328"/>
      <c r="BH279" s="328"/>
      <c r="BI279" s="328"/>
      <c r="BJ279" s="328"/>
      <c r="BK279" s="328"/>
      <c r="BL279" s="328"/>
      <c r="BM279" s="328"/>
      <c r="BN279" s="328"/>
      <c r="BO279" s="328"/>
      <c r="BP279" s="328"/>
      <c r="BQ279" s="328"/>
      <c r="BR279" s="328"/>
      <c r="BS279" s="328"/>
      <c r="BT279" s="328"/>
      <c r="BU279" s="328"/>
      <c r="BV279" s="328"/>
      <c r="BW279" s="328"/>
      <c r="BX279" s="328"/>
      <c r="BY279" s="328"/>
      <c r="BZ279" s="328"/>
      <c r="CA279" s="328"/>
      <c r="CB279" s="328"/>
      <c r="CC279" s="328"/>
      <c r="CD279" s="328"/>
      <c r="CE279" s="328"/>
      <c r="CF279" s="328"/>
      <c r="CG279" s="328"/>
      <c r="CH279" s="328"/>
      <c r="CI279" s="328"/>
      <c r="CJ279" s="328"/>
      <c r="CK279" s="328"/>
      <c r="CL279" s="328"/>
      <c r="CM279" s="328"/>
      <c r="CN279" s="328"/>
      <c r="CO279" s="328"/>
      <c r="CP279" s="328"/>
      <c r="CQ279" s="328"/>
      <c r="CR279" s="328"/>
      <c r="CS279" s="328"/>
      <c r="CT279" s="328"/>
      <c r="CU279" s="328"/>
      <c r="CV279" s="328"/>
      <c r="CW279" s="328"/>
      <c r="CX279" s="328"/>
      <c r="CY279" s="328"/>
      <c r="CZ279" s="328"/>
      <c r="DA279" s="328"/>
      <c r="DB279" s="328"/>
      <c r="DC279" s="328"/>
      <c r="DD279" s="328"/>
      <c r="DE279" s="328"/>
      <c r="DF279" s="328"/>
      <c r="DG279" s="328"/>
      <c r="DH279" s="328"/>
      <c r="DI279" s="328"/>
      <c r="DJ279" s="328"/>
      <c r="DK279" s="328"/>
      <c r="DL279" s="328"/>
      <c r="DM279" s="328"/>
      <c r="DN279" s="328"/>
      <c r="DO279" s="328"/>
      <c r="DP279" s="328"/>
      <c r="DQ279" s="328"/>
      <c r="DR279" s="328"/>
      <c r="DS279" s="328"/>
      <c r="DT279" s="328"/>
      <c r="DU279" s="328"/>
      <c r="DV279" s="328"/>
      <c r="DW279" s="328"/>
      <c r="DX279" s="328"/>
      <c r="DY279" s="328"/>
      <c r="DZ279" s="328"/>
      <c r="EA279" s="328"/>
      <c r="EB279" s="328"/>
      <c r="EC279" s="328"/>
      <c r="ED279" s="328"/>
      <c r="EE279" s="328"/>
      <c r="EF279" s="328"/>
      <c r="EG279" s="328"/>
      <c r="EH279" s="328"/>
      <c r="EI279" s="328"/>
      <c r="EJ279" s="328"/>
      <c r="EK279" s="328"/>
      <c r="EL279" s="328"/>
      <c r="EM279" s="328"/>
      <c r="EN279" s="328"/>
      <c r="EO279" s="328"/>
      <c r="EP279" s="328"/>
      <c r="EQ279" s="328"/>
      <c r="ER279" s="328"/>
      <c r="ES279" s="328"/>
      <c r="ET279" s="328"/>
      <c r="EU279" s="328"/>
      <c r="EV279" s="328"/>
      <c r="EW279" s="328"/>
      <c r="EX279" s="328"/>
      <c r="EY279" s="328"/>
      <c r="EZ279" s="328"/>
      <c r="FA279" s="328"/>
      <c r="FB279" s="328"/>
      <c r="FC279" s="328"/>
      <c r="FD279" s="328"/>
      <c r="FE279" s="328"/>
      <c r="FF279" s="328"/>
      <c r="FG279" s="328"/>
      <c r="FH279" s="328"/>
      <c r="FI279" s="328"/>
      <c r="FJ279" s="328"/>
      <c r="FK279" s="328"/>
      <c r="FL279" s="328"/>
      <c r="FM279" s="328"/>
      <c r="FN279" s="328"/>
      <c r="FO279" s="328"/>
      <c r="FP279" s="328"/>
      <c r="FQ279" s="328"/>
      <c r="FR279" s="328"/>
      <c r="FS279" s="328"/>
      <c r="FT279" s="328"/>
      <c r="FU279" s="328"/>
      <c r="FV279" s="328"/>
      <c r="FW279" s="328"/>
      <c r="FX279" s="328"/>
      <c r="FY279" s="328"/>
      <c r="FZ279" s="328"/>
      <c r="GA279" s="328"/>
      <c r="GB279" s="328"/>
      <c r="GC279" s="328"/>
    </row>
    <row r="280" spans="1:185" ht="24" customHeight="1"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/>
      <c r="AN280" s="328"/>
      <c r="AO280" s="328"/>
      <c r="AP280" s="328"/>
      <c r="AQ280" s="328"/>
      <c r="AR280" s="328"/>
      <c r="AS280" s="328"/>
      <c r="AT280" s="328"/>
      <c r="AU280" s="328"/>
      <c r="AV280" s="328"/>
      <c r="AW280" s="328"/>
      <c r="AX280" s="328"/>
      <c r="AY280" s="328"/>
      <c r="AZ280" s="328"/>
      <c r="BA280" s="328"/>
      <c r="BB280" s="328"/>
      <c r="BC280" s="328"/>
      <c r="BD280" s="328"/>
      <c r="BE280" s="328"/>
      <c r="BF280" s="328"/>
      <c r="BG280" s="328"/>
      <c r="BH280" s="328"/>
      <c r="BI280" s="328"/>
      <c r="BJ280" s="328"/>
      <c r="BK280" s="328"/>
      <c r="BL280" s="328"/>
      <c r="BM280" s="328"/>
      <c r="BN280" s="328"/>
      <c r="BO280" s="328"/>
      <c r="BP280" s="328"/>
      <c r="BQ280" s="328"/>
      <c r="BR280" s="328"/>
      <c r="BS280" s="328"/>
      <c r="BT280" s="328"/>
      <c r="BU280" s="328"/>
      <c r="BV280" s="328"/>
      <c r="BW280" s="328"/>
      <c r="BX280" s="328"/>
      <c r="BY280" s="328"/>
      <c r="BZ280" s="328"/>
      <c r="CA280" s="328"/>
      <c r="CB280" s="328"/>
      <c r="CC280" s="328"/>
      <c r="CD280" s="328"/>
      <c r="CE280" s="328"/>
      <c r="CF280" s="328"/>
      <c r="CG280" s="328"/>
      <c r="CH280" s="328"/>
      <c r="CI280" s="328"/>
      <c r="CJ280" s="328"/>
      <c r="CK280" s="328"/>
      <c r="CL280" s="328"/>
      <c r="CM280" s="328"/>
      <c r="CN280" s="328"/>
      <c r="CO280" s="328"/>
      <c r="CP280" s="328"/>
      <c r="CQ280" s="328"/>
      <c r="CR280" s="328"/>
      <c r="CS280" s="328"/>
      <c r="CT280" s="328"/>
      <c r="CU280" s="328"/>
      <c r="CV280" s="328"/>
      <c r="CW280" s="328"/>
      <c r="CX280" s="328"/>
      <c r="CY280" s="328"/>
      <c r="CZ280" s="328"/>
      <c r="DA280" s="328"/>
      <c r="DB280" s="328"/>
      <c r="DC280" s="328"/>
      <c r="DD280" s="328"/>
      <c r="DE280" s="328"/>
      <c r="DF280" s="328"/>
      <c r="DG280" s="328"/>
      <c r="DH280" s="328"/>
      <c r="DI280" s="328"/>
      <c r="DJ280" s="328"/>
      <c r="DK280" s="328"/>
      <c r="DL280" s="328"/>
      <c r="DM280" s="328"/>
      <c r="DN280" s="328"/>
      <c r="DO280" s="328"/>
      <c r="DP280" s="328"/>
      <c r="DQ280" s="328"/>
      <c r="DR280" s="328"/>
      <c r="DS280" s="328"/>
      <c r="DT280" s="328"/>
      <c r="DU280" s="328"/>
      <c r="DV280" s="328"/>
      <c r="DW280" s="328"/>
      <c r="DX280" s="328"/>
      <c r="DY280" s="328"/>
      <c r="DZ280" s="328"/>
      <c r="EA280" s="328"/>
      <c r="EB280" s="328"/>
      <c r="EC280" s="328"/>
      <c r="ED280" s="328"/>
      <c r="EE280" s="328"/>
      <c r="EF280" s="328"/>
      <c r="EG280" s="328"/>
      <c r="EH280" s="328"/>
      <c r="EI280" s="328"/>
      <c r="EJ280" s="328"/>
      <c r="EK280" s="328"/>
      <c r="EL280" s="328"/>
      <c r="EM280" s="328"/>
      <c r="EN280" s="328"/>
      <c r="EO280" s="328"/>
      <c r="EP280" s="328"/>
      <c r="EQ280" s="328"/>
      <c r="ER280" s="328"/>
      <c r="ES280" s="328"/>
      <c r="ET280" s="328"/>
      <c r="EU280" s="328"/>
      <c r="EV280" s="328"/>
      <c r="EW280" s="328"/>
      <c r="EX280" s="328"/>
      <c r="EY280" s="328"/>
      <c r="EZ280" s="328"/>
      <c r="FA280" s="328"/>
      <c r="FB280" s="328"/>
      <c r="FC280" s="328"/>
      <c r="FD280" s="328"/>
      <c r="FE280" s="328"/>
      <c r="FF280" s="328"/>
      <c r="FG280" s="328"/>
      <c r="FH280" s="328"/>
      <c r="FI280" s="328"/>
      <c r="FJ280" s="328"/>
      <c r="FK280" s="328"/>
      <c r="FL280" s="328"/>
      <c r="FM280" s="328"/>
      <c r="FN280" s="328"/>
      <c r="FO280" s="328"/>
      <c r="FP280" s="328"/>
      <c r="FQ280" s="328"/>
      <c r="FR280" s="328"/>
      <c r="FS280" s="328"/>
      <c r="FT280" s="328"/>
      <c r="FU280" s="328"/>
      <c r="FV280" s="328"/>
      <c r="FW280" s="328"/>
      <c r="FX280" s="328"/>
      <c r="FY280" s="328"/>
      <c r="FZ280" s="328"/>
      <c r="GA280" s="328"/>
      <c r="GB280" s="328"/>
      <c r="GC280" s="328"/>
    </row>
    <row r="281" spans="1:185" ht="24" customHeight="1"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T281" s="328"/>
      <c r="U281" s="328"/>
      <c r="V281" s="328"/>
      <c r="W281" s="328"/>
      <c r="X281" s="328"/>
      <c r="Y281" s="328"/>
      <c r="Z281" s="328"/>
      <c r="AA281" s="328"/>
      <c r="AB281" s="328"/>
      <c r="AC281" s="328"/>
      <c r="AD281" s="328"/>
      <c r="AE281" s="328"/>
      <c r="AF281" s="328"/>
      <c r="AG281" s="328"/>
      <c r="AH281" s="328"/>
      <c r="AI281" s="328"/>
      <c r="AJ281" s="328"/>
      <c r="AK281" s="328"/>
      <c r="AL281" s="328"/>
      <c r="AM281" s="328"/>
      <c r="AN281" s="328"/>
      <c r="AO281" s="328"/>
      <c r="AP281" s="328"/>
      <c r="AQ281" s="328"/>
      <c r="AR281" s="328"/>
      <c r="AS281" s="328"/>
      <c r="AT281" s="328"/>
      <c r="AU281" s="328"/>
      <c r="AV281" s="328"/>
      <c r="AW281" s="328"/>
      <c r="AX281" s="328"/>
      <c r="AY281" s="328"/>
      <c r="AZ281" s="328"/>
      <c r="BA281" s="328"/>
      <c r="BB281" s="328"/>
      <c r="BC281" s="328"/>
      <c r="BD281" s="328"/>
      <c r="BE281" s="328"/>
      <c r="BF281" s="328"/>
      <c r="BG281" s="328"/>
      <c r="BH281" s="328"/>
      <c r="BI281" s="328"/>
      <c r="BJ281" s="328"/>
      <c r="BK281" s="328"/>
      <c r="BL281" s="328"/>
      <c r="BM281" s="328"/>
      <c r="BN281" s="328"/>
      <c r="BO281" s="328"/>
      <c r="BP281" s="328"/>
      <c r="BQ281" s="328"/>
      <c r="BR281" s="328"/>
      <c r="BS281" s="328"/>
      <c r="BT281" s="328"/>
      <c r="BU281" s="328"/>
      <c r="BV281" s="328"/>
      <c r="BW281" s="328"/>
      <c r="BX281" s="328"/>
      <c r="BY281" s="328"/>
      <c r="BZ281" s="328"/>
      <c r="CA281" s="328"/>
      <c r="CB281" s="328"/>
      <c r="CC281" s="328"/>
      <c r="CD281" s="328"/>
      <c r="CE281" s="328"/>
      <c r="CF281" s="328"/>
      <c r="CG281" s="328"/>
      <c r="CH281" s="328"/>
      <c r="CI281" s="328"/>
      <c r="CJ281" s="328"/>
      <c r="CK281" s="328"/>
      <c r="CL281" s="328"/>
      <c r="CM281" s="328"/>
      <c r="CN281" s="328"/>
      <c r="CO281" s="328"/>
      <c r="CP281" s="328"/>
      <c r="CQ281" s="328"/>
      <c r="CR281" s="328"/>
      <c r="CS281" s="328"/>
      <c r="CT281" s="328"/>
      <c r="CU281" s="328"/>
      <c r="CV281" s="328"/>
      <c r="CW281" s="328"/>
      <c r="CX281" s="328"/>
      <c r="CY281" s="328"/>
      <c r="CZ281" s="328"/>
      <c r="DA281" s="328"/>
      <c r="DB281" s="328"/>
      <c r="DC281" s="328"/>
      <c r="DD281" s="328"/>
      <c r="DE281" s="328"/>
      <c r="DF281" s="328"/>
      <c r="DG281" s="328"/>
      <c r="DH281" s="328"/>
      <c r="DI281" s="328"/>
      <c r="DJ281" s="328"/>
      <c r="DK281" s="328"/>
      <c r="DL281" s="328"/>
      <c r="DM281" s="328"/>
      <c r="DN281" s="328"/>
      <c r="DO281" s="328"/>
      <c r="DP281" s="328"/>
      <c r="DQ281" s="328"/>
      <c r="DR281" s="328"/>
      <c r="DS281" s="328"/>
      <c r="DT281" s="328"/>
      <c r="DU281" s="328"/>
      <c r="DV281" s="328"/>
      <c r="DW281" s="328"/>
      <c r="DX281" s="328"/>
      <c r="DY281" s="328"/>
      <c r="DZ281" s="328"/>
      <c r="EA281" s="328"/>
      <c r="EB281" s="328"/>
      <c r="EC281" s="328"/>
      <c r="ED281" s="328"/>
      <c r="EE281" s="328"/>
      <c r="EF281" s="328"/>
      <c r="EG281" s="328"/>
      <c r="EH281" s="328"/>
      <c r="EI281" s="328"/>
      <c r="EJ281" s="328"/>
      <c r="EK281" s="328"/>
      <c r="EL281" s="328"/>
      <c r="EM281" s="328"/>
      <c r="EN281" s="328"/>
      <c r="EO281" s="328"/>
      <c r="EP281" s="328"/>
      <c r="EQ281" s="328"/>
      <c r="ER281" s="328"/>
      <c r="ES281" s="328"/>
      <c r="ET281" s="328"/>
      <c r="EU281" s="328"/>
      <c r="EV281" s="328"/>
      <c r="EW281" s="328"/>
      <c r="EX281" s="328"/>
      <c r="EY281" s="328"/>
      <c r="EZ281" s="328"/>
      <c r="FA281" s="328"/>
      <c r="FB281" s="328"/>
      <c r="FC281" s="328"/>
      <c r="FD281" s="328"/>
      <c r="FE281" s="328"/>
      <c r="FF281" s="328"/>
      <c r="FG281" s="328"/>
      <c r="FH281" s="328"/>
      <c r="FI281" s="328"/>
      <c r="FJ281" s="328"/>
      <c r="FK281" s="328"/>
      <c r="FL281" s="328"/>
      <c r="FM281" s="328"/>
      <c r="FN281" s="328"/>
      <c r="FO281" s="328"/>
      <c r="FP281" s="328"/>
      <c r="FQ281" s="328"/>
      <c r="FR281" s="328"/>
      <c r="FS281" s="328"/>
      <c r="FT281" s="328"/>
      <c r="FU281" s="328"/>
      <c r="FV281" s="328"/>
      <c r="FW281" s="328"/>
      <c r="FX281" s="328"/>
      <c r="FY281" s="328"/>
      <c r="FZ281" s="328"/>
      <c r="GA281" s="328"/>
      <c r="GB281" s="328"/>
      <c r="GC281" s="328"/>
    </row>
    <row r="282" spans="1:185" ht="24" customHeight="1"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328"/>
      <c r="AI282" s="328"/>
      <c r="AJ282" s="328"/>
      <c r="AK282" s="328"/>
      <c r="AL282" s="328"/>
      <c r="AM282" s="328"/>
      <c r="AN282" s="328"/>
      <c r="AO282" s="328"/>
      <c r="AP282" s="328"/>
      <c r="AQ282" s="328"/>
      <c r="AR282" s="328"/>
      <c r="AS282" s="328"/>
      <c r="AT282" s="328"/>
      <c r="AU282" s="328"/>
      <c r="AV282" s="328"/>
      <c r="AW282" s="328"/>
      <c r="AX282" s="328"/>
      <c r="AY282" s="328"/>
      <c r="AZ282" s="328"/>
      <c r="BA282" s="328"/>
      <c r="BB282" s="328"/>
      <c r="BC282" s="328"/>
      <c r="BD282" s="328"/>
      <c r="BE282" s="328"/>
      <c r="BF282" s="328"/>
      <c r="BG282" s="328"/>
      <c r="BH282" s="328"/>
      <c r="BI282" s="328"/>
      <c r="BJ282" s="328"/>
      <c r="BK282" s="328"/>
      <c r="BL282" s="328"/>
      <c r="BM282" s="328"/>
      <c r="BN282" s="328"/>
      <c r="BO282" s="328"/>
      <c r="BP282" s="328"/>
      <c r="BQ282" s="328"/>
      <c r="BR282" s="328"/>
      <c r="BS282" s="328"/>
      <c r="BT282" s="328"/>
      <c r="BU282" s="328"/>
      <c r="BV282" s="328"/>
      <c r="BW282" s="328"/>
      <c r="BX282" s="328"/>
      <c r="BY282" s="328"/>
      <c r="BZ282" s="328"/>
      <c r="CA282" s="328"/>
      <c r="CB282" s="328"/>
      <c r="CC282" s="328"/>
      <c r="CD282" s="328"/>
      <c r="CE282" s="328"/>
      <c r="CF282" s="328"/>
      <c r="CG282" s="328"/>
      <c r="CH282" s="328"/>
      <c r="CI282" s="328"/>
      <c r="CJ282" s="328"/>
      <c r="CK282" s="328"/>
      <c r="CL282" s="328"/>
      <c r="CM282" s="328"/>
      <c r="CN282" s="328"/>
      <c r="CO282" s="328"/>
      <c r="CP282" s="328"/>
      <c r="CQ282" s="328"/>
      <c r="CR282" s="328"/>
      <c r="CS282" s="328"/>
      <c r="CT282" s="328"/>
      <c r="CU282" s="328"/>
      <c r="CV282" s="328"/>
      <c r="CW282" s="328"/>
      <c r="CX282" s="328"/>
      <c r="CY282" s="328"/>
      <c r="CZ282" s="328"/>
      <c r="DA282" s="328"/>
      <c r="DB282" s="328"/>
      <c r="DC282" s="328"/>
      <c r="DD282" s="328"/>
      <c r="DE282" s="328"/>
      <c r="DF282" s="328"/>
      <c r="DG282" s="328"/>
      <c r="DH282" s="328"/>
      <c r="DI282" s="328"/>
      <c r="DJ282" s="328"/>
      <c r="DK282" s="328"/>
      <c r="DL282" s="328"/>
      <c r="DM282" s="328"/>
      <c r="DN282" s="328"/>
      <c r="DO282" s="328"/>
      <c r="DP282" s="328"/>
      <c r="DQ282" s="328"/>
      <c r="DR282" s="328"/>
      <c r="DS282" s="328"/>
      <c r="DT282" s="328"/>
      <c r="DU282" s="328"/>
      <c r="DV282" s="328"/>
      <c r="DW282" s="328"/>
      <c r="DX282" s="328"/>
      <c r="DY282" s="328"/>
      <c r="DZ282" s="328"/>
      <c r="EA282" s="328"/>
      <c r="EB282" s="328"/>
      <c r="EC282" s="328"/>
      <c r="ED282" s="328"/>
      <c r="EE282" s="328"/>
      <c r="EF282" s="328"/>
      <c r="EG282" s="328"/>
      <c r="EH282" s="328"/>
      <c r="EI282" s="328"/>
      <c r="EJ282" s="328"/>
      <c r="EK282" s="328"/>
      <c r="EL282" s="328"/>
      <c r="EM282" s="328"/>
      <c r="EN282" s="328"/>
      <c r="EO282" s="328"/>
      <c r="EP282" s="328"/>
      <c r="EQ282" s="328"/>
      <c r="ER282" s="328"/>
      <c r="ES282" s="328"/>
      <c r="ET282" s="328"/>
      <c r="EU282" s="328"/>
      <c r="EV282" s="328"/>
      <c r="EW282" s="328"/>
      <c r="EX282" s="328"/>
      <c r="EY282" s="328"/>
      <c r="EZ282" s="328"/>
      <c r="FA282" s="328"/>
      <c r="FB282" s="328"/>
      <c r="FC282" s="328"/>
      <c r="FD282" s="328"/>
      <c r="FE282" s="328"/>
      <c r="FF282" s="328"/>
      <c r="FG282" s="328"/>
      <c r="FH282" s="328"/>
      <c r="FI282" s="328"/>
      <c r="FJ282" s="328"/>
      <c r="FK282" s="328"/>
      <c r="FL282" s="328"/>
      <c r="FM282" s="328"/>
      <c r="FN282" s="328"/>
      <c r="FO282" s="328"/>
      <c r="FP282" s="328"/>
      <c r="FQ282" s="328"/>
      <c r="FR282" s="328"/>
      <c r="FS282" s="328"/>
      <c r="FT282" s="328"/>
      <c r="FU282" s="328"/>
      <c r="FV282" s="328"/>
      <c r="FW282" s="328"/>
      <c r="FX282" s="328"/>
      <c r="FY282" s="328"/>
      <c r="FZ282" s="328"/>
      <c r="GA282" s="328"/>
      <c r="GB282" s="328"/>
      <c r="GC282" s="328"/>
    </row>
    <row r="283" spans="1:185" ht="24" customHeight="1"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8"/>
      <c r="BA283" s="328"/>
      <c r="BB283" s="328"/>
      <c r="BC283" s="328"/>
      <c r="BD283" s="328"/>
      <c r="BE283" s="328"/>
      <c r="BF283" s="328"/>
      <c r="BG283" s="328"/>
      <c r="BH283" s="328"/>
      <c r="BI283" s="328"/>
      <c r="BJ283" s="328"/>
      <c r="BK283" s="328"/>
      <c r="BL283" s="328"/>
      <c r="BM283" s="328"/>
      <c r="BN283" s="328"/>
      <c r="BO283" s="328"/>
      <c r="BP283" s="328"/>
      <c r="BQ283" s="328"/>
      <c r="BR283" s="328"/>
      <c r="BS283" s="328"/>
      <c r="BT283" s="328"/>
      <c r="BU283" s="328"/>
      <c r="BV283" s="328"/>
      <c r="BW283" s="328"/>
      <c r="BX283" s="328"/>
      <c r="BY283" s="328"/>
      <c r="BZ283" s="328"/>
      <c r="CA283" s="328"/>
      <c r="CB283" s="328"/>
      <c r="CC283" s="328"/>
      <c r="CD283" s="328"/>
      <c r="CE283" s="328"/>
      <c r="CF283" s="328"/>
      <c r="CG283" s="328"/>
      <c r="CH283" s="328"/>
      <c r="CI283" s="328"/>
      <c r="CJ283" s="328"/>
      <c r="CK283" s="328"/>
      <c r="CL283" s="328"/>
      <c r="CM283" s="328"/>
      <c r="CN283" s="328"/>
      <c r="CO283" s="328"/>
      <c r="CP283" s="328"/>
      <c r="CQ283" s="328"/>
      <c r="CR283" s="328"/>
      <c r="CS283" s="328"/>
      <c r="CT283" s="328"/>
      <c r="CU283" s="328"/>
      <c r="CV283" s="328"/>
      <c r="CW283" s="328"/>
      <c r="CX283" s="328"/>
      <c r="CY283" s="328"/>
      <c r="CZ283" s="328"/>
      <c r="DA283" s="328"/>
      <c r="DB283" s="328"/>
      <c r="DC283" s="328"/>
      <c r="DD283" s="328"/>
      <c r="DE283" s="328"/>
      <c r="DF283" s="328"/>
      <c r="DG283" s="328"/>
      <c r="DH283" s="328"/>
      <c r="DI283" s="328"/>
      <c r="DJ283" s="328"/>
      <c r="DK283" s="328"/>
      <c r="DL283" s="328"/>
      <c r="DM283" s="328"/>
      <c r="DN283" s="328"/>
      <c r="DO283" s="328"/>
      <c r="DP283" s="328"/>
      <c r="DQ283" s="328"/>
      <c r="DR283" s="328"/>
      <c r="DS283" s="328"/>
      <c r="DT283" s="328"/>
      <c r="DU283" s="328"/>
      <c r="DV283" s="328"/>
      <c r="DW283" s="328"/>
      <c r="DX283" s="328"/>
      <c r="DY283" s="328"/>
      <c r="DZ283" s="328"/>
      <c r="EA283" s="328"/>
      <c r="EB283" s="328"/>
      <c r="EC283" s="328"/>
      <c r="ED283" s="328"/>
      <c r="EE283" s="328"/>
      <c r="EF283" s="328"/>
      <c r="EG283" s="328"/>
      <c r="EH283" s="328"/>
      <c r="EI283" s="328"/>
      <c r="EJ283" s="328"/>
      <c r="EK283" s="328"/>
      <c r="EL283" s="328"/>
      <c r="EM283" s="328"/>
      <c r="EN283" s="328"/>
      <c r="EO283" s="328"/>
      <c r="EP283" s="328"/>
      <c r="EQ283" s="328"/>
      <c r="ER283" s="328"/>
      <c r="ES283" s="328"/>
      <c r="ET283" s="328"/>
      <c r="EU283" s="328"/>
      <c r="EV283" s="328"/>
      <c r="EW283" s="328"/>
      <c r="EX283" s="328"/>
      <c r="EY283" s="328"/>
      <c r="EZ283" s="328"/>
      <c r="FA283" s="328"/>
      <c r="FB283" s="328"/>
      <c r="FC283" s="328"/>
      <c r="FD283" s="328"/>
      <c r="FE283" s="328"/>
      <c r="FF283" s="328"/>
      <c r="FG283" s="328"/>
      <c r="FH283" s="328"/>
      <c r="FI283" s="328"/>
      <c r="FJ283" s="328"/>
      <c r="FK283" s="328"/>
      <c r="FL283" s="328"/>
      <c r="FM283" s="328"/>
      <c r="FN283" s="328"/>
      <c r="FO283" s="328"/>
      <c r="FP283" s="328"/>
      <c r="FQ283" s="328"/>
      <c r="FR283" s="328"/>
      <c r="FS283" s="328"/>
      <c r="FT283" s="328"/>
      <c r="FU283" s="328"/>
      <c r="FV283" s="328"/>
      <c r="FW283" s="328"/>
      <c r="FX283" s="328"/>
      <c r="FY283" s="328"/>
      <c r="FZ283" s="328"/>
      <c r="GA283" s="328"/>
      <c r="GB283" s="328"/>
      <c r="GC283" s="328"/>
    </row>
    <row r="284" spans="1:185" ht="24" customHeight="1"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T284" s="328"/>
      <c r="U284" s="328"/>
      <c r="V284" s="328"/>
      <c r="W284" s="328"/>
      <c r="X284" s="328"/>
      <c r="Y284" s="328"/>
      <c r="Z284" s="328"/>
      <c r="AA284" s="328"/>
      <c r="AB284" s="328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8"/>
      <c r="BA284" s="328"/>
      <c r="BB284" s="328"/>
      <c r="BC284" s="328"/>
      <c r="BD284" s="328"/>
      <c r="BE284" s="328"/>
      <c r="BF284" s="328"/>
      <c r="BG284" s="328"/>
      <c r="BH284" s="328"/>
      <c r="BI284" s="328"/>
      <c r="BJ284" s="328"/>
      <c r="BK284" s="328"/>
      <c r="BL284" s="328"/>
      <c r="BM284" s="328"/>
      <c r="BN284" s="328"/>
      <c r="BO284" s="328"/>
      <c r="BP284" s="328"/>
      <c r="BQ284" s="328"/>
      <c r="BR284" s="328"/>
      <c r="BS284" s="328"/>
      <c r="BT284" s="328"/>
      <c r="BU284" s="328"/>
      <c r="BV284" s="328"/>
      <c r="BW284" s="328"/>
      <c r="BX284" s="328"/>
      <c r="BY284" s="328"/>
      <c r="BZ284" s="328"/>
      <c r="CA284" s="328"/>
      <c r="CB284" s="328"/>
      <c r="CC284" s="328"/>
      <c r="CD284" s="328"/>
      <c r="CE284" s="328"/>
      <c r="CF284" s="328"/>
      <c r="CG284" s="328"/>
      <c r="CH284" s="328"/>
      <c r="CI284" s="328"/>
      <c r="CJ284" s="328"/>
      <c r="CK284" s="328"/>
      <c r="CL284" s="328"/>
      <c r="CM284" s="328"/>
      <c r="CN284" s="328"/>
      <c r="CO284" s="328"/>
      <c r="CP284" s="328"/>
      <c r="CQ284" s="328"/>
      <c r="CR284" s="328"/>
      <c r="CS284" s="328"/>
      <c r="CT284" s="328"/>
      <c r="CU284" s="328"/>
      <c r="CV284" s="328"/>
      <c r="CW284" s="328"/>
      <c r="CX284" s="328"/>
      <c r="CY284" s="328"/>
      <c r="CZ284" s="328"/>
      <c r="DA284" s="328"/>
      <c r="DB284" s="328"/>
      <c r="DC284" s="328"/>
      <c r="DD284" s="328"/>
      <c r="DE284" s="328"/>
      <c r="DF284" s="328"/>
      <c r="DG284" s="328"/>
      <c r="DH284" s="328"/>
      <c r="DI284" s="328"/>
      <c r="DJ284" s="328"/>
      <c r="DK284" s="328"/>
      <c r="DL284" s="328"/>
      <c r="DM284" s="328"/>
      <c r="DN284" s="328"/>
      <c r="DO284" s="328"/>
      <c r="DP284" s="328"/>
      <c r="DQ284" s="328"/>
      <c r="DR284" s="328"/>
      <c r="DS284" s="328"/>
      <c r="DT284" s="328"/>
      <c r="DU284" s="328"/>
      <c r="DV284" s="328"/>
      <c r="DW284" s="328"/>
      <c r="DX284" s="328"/>
      <c r="DY284" s="328"/>
      <c r="DZ284" s="328"/>
      <c r="EA284" s="328"/>
      <c r="EB284" s="328"/>
      <c r="EC284" s="328"/>
      <c r="ED284" s="328"/>
      <c r="EE284" s="328"/>
      <c r="EF284" s="328"/>
      <c r="EG284" s="328"/>
      <c r="EH284" s="328"/>
      <c r="EI284" s="328"/>
      <c r="EJ284" s="328"/>
      <c r="EK284" s="328"/>
      <c r="EL284" s="328"/>
      <c r="EM284" s="328"/>
      <c r="EN284" s="328"/>
      <c r="EO284" s="328"/>
      <c r="EP284" s="328"/>
      <c r="EQ284" s="328"/>
      <c r="ER284" s="328"/>
      <c r="ES284" s="328"/>
      <c r="ET284" s="328"/>
      <c r="EU284" s="328"/>
      <c r="EV284" s="328"/>
      <c r="EW284" s="328"/>
      <c r="EX284" s="328"/>
      <c r="EY284" s="328"/>
      <c r="EZ284" s="328"/>
      <c r="FA284" s="328"/>
      <c r="FB284" s="328"/>
      <c r="FC284" s="328"/>
      <c r="FD284" s="328"/>
      <c r="FE284" s="328"/>
      <c r="FF284" s="328"/>
      <c r="FG284" s="328"/>
      <c r="FH284" s="328"/>
      <c r="FI284" s="328"/>
      <c r="FJ284" s="328"/>
      <c r="FK284" s="328"/>
      <c r="FL284" s="328"/>
      <c r="FM284" s="328"/>
      <c r="FN284" s="328"/>
      <c r="FO284" s="328"/>
      <c r="FP284" s="328"/>
      <c r="FQ284" s="328"/>
      <c r="FR284" s="328"/>
      <c r="FS284" s="328"/>
      <c r="FT284" s="328"/>
      <c r="FU284" s="328"/>
      <c r="FV284" s="328"/>
      <c r="FW284" s="328"/>
      <c r="FX284" s="328"/>
      <c r="FY284" s="328"/>
      <c r="FZ284" s="328"/>
      <c r="GA284" s="328"/>
      <c r="GB284" s="328"/>
      <c r="GC284" s="328"/>
    </row>
    <row r="285" spans="1:185" ht="24" customHeight="1">
      <c r="H285" s="329"/>
      <c r="I285" s="329"/>
      <c r="J285" s="329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8"/>
      <c r="AA285" s="328"/>
      <c r="AB285" s="328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8"/>
      <c r="BA285" s="328"/>
      <c r="BB285" s="328"/>
      <c r="BC285" s="328"/>
      <c r="BD285" s="328"/>
      <c r="BE285" s="328"/>
      <c r="BF285" s="328"/>
      <c r="BG285" s="328"/>
      <c r="BH285" s="328"/>
      <c r="BI285" s="328"/>
      <c r="BJ285" s="328"/>
      <c r="BK285" s="328"/>
      <c r="BL285" s="328"/>
      <c r="BM285" s="328"/>
      <c r="BN285" s="328"/>
      <c r="BO285" s="328"/>
      <c r="BP285" s="328"/>
      <c r="BQ285" s="328"/>
      <c r="BR285" s="328"/>
      <c r="BS285" s="328"/>
      <c r="BT285" s="328"/>
      <c r="BU285" s="328"/>
      <c r="BV285" s="328"/>
      <c r="BW285" s="328"/>
      <c r="BX285" s="328"/>
      <c r="BY285" s="328"/>
      <c r="BZ285" s="328"/>
      <c r="CA285" s="328"/>
      <c r="CB285" s="328"/>
      <c r="CC285" s="328"/>
      <c r="CD285" s="328"/>
      <c r="CE285" s="328"/>
      <c r="CF285" s="328"/>
      <c r="CG285" s="328"/>
      <c r="CH285" s="328"/>
      <c r="CI285" s="328"/>
      <c r="CJ285" s="328"/>
      <c r="CK285" s="328"/>
      <c r="CL285" s="328"/>
      <c r="CM285" s="328"/>
      <c r="CN285" s="328"/>
      <c r="CO285" s="328"/>
      <c r="CP285" s="328"/>
      <c r="CQ285" s="328"/>
      <c r="CR285" s="328"/>
      <c r="CS285" s="328"/>
      <c r="CT285" s="328"/>
      <c r="CU285" s="328"/>
      <c r="CV285" s="328"/>
      <c r="CW285" s="328"/>
      <c r="CX285" s="328"/>
      <c r="CY285" s="328"/>
      <c r="CZ285" s="328"/>
      <c r="DA285" s="328"/>
      <c r="DB285" s="328"/>
      <c r="DC285" s="328"/>
      <c r="DD285" s="328"/>
      <c r="DE285" s="328"/>
      <c r="DF285" s="328"/>
      <c r="DG285" s="328"/>
      <c r="DH285" s="328"/>
      <c r="DI285" s="328"/>
      <c r="DJ285" s="328"/>
      <c r="DK285" s="328"/>
      <c r="DL285" s="328"/>
      <c r="DM285" s="328"/>
      <c r="DN285" s="328"/>
      <c r="DO285" s="328"/>
      <c r="DP285" s="328"/>
      <c r="DQ285" s="328"/>
      <c r="DR285" s="328"/>
      <c r="DS285" s="328"/>
      <c r="DT285" s="328"/>
      <c r="DU285" s="328"/>
      <c r="DV285" s="328"/>
      <c r="DW285" s="328"/>
      <c r="DX285" s="328"/>
      <c r="DY285" s="328"/>
      <c r="DZ285" s="328"/>
      <c r="EA285" s="328"/>
      <c r="EB285" s="328"/>
      <c r="EC285" s="328"/>
      <c r="ED285" s="328"/>
      <c r="EE285" s="328"/>
      <c r="EF285" s="328"/>
      <c r="EG285" s="328"/>
      <c r="EH285" s="328"/>
      <c r="EI285" s="328"/>
      <c r="EJ285" s="328"/>
      <c r="EK285" s="328"/>
      <c r="EL285" s="328"/>
      <c r="EM285" s="328"/>
      <c r="EN285" s="328"/>
      <c r="EO285" s="328"/>
      <c r="EP285" s="328"/>
      <c r="EQ285" s="328"/>
      <c r="ER285" s="328"/>
      <c r="ES285" s="328"/>
      <c r="ET285" s="328"/>
      <c r="EU285" s="328"/>
      <c r="EV285" s="328"/>
      <c r="EW285" s="328"/>
      <c r="EX285" s="328"/>
      <c r="EY285" s="328"/>
      <c r="EZ285" s="328"/>
      <c r="FA285" s="328"/>
      <c r="FB285" s="328"/>
      <c r="FC285" s="328"/>
      <c r="FD285" s="328"/>
      <c r="FE285" s="328"/>
      <c r="FF285" s="328"/>
      <c r="FG285" s="328"/>
      <c r="FH285" s="328"/>
      <c r="FI285" s="328"/>
      <c r="FJ285" s="328"/>
      <c r="FK285" s="328"/>
      <c r="FL285" s="328"/>
      <c r="FM285" s="328"/>
      <c r="FN285" s="328"/>
      <c r="FO285" s="328"/>
      <c r="FP285" s="328"/>
      <c r="FQ285" s="328"/>
      <c r="FR285" s="328"/>
      <c r="FS285" s="328"/>
      <c r="FT285" s="328"/>
      <c r="FU285" s="328"/>
      <c r="FV285" s="328"/>
      <c r="FW285" s="328"/>
      <c r="FX285" s="328"/>
      <c r="FY285" s="328"/>
      <c r="FZ285" s="328"/>
      <c r="GA285" s="328"/>
      <c r="GB285" s="328"/>
      <c r="GC285" s="328"/>
    </row>
    <row r="286" spans="1:185" ht="24" customHeight="1">
      <c r="H286" s="329"/>
      <c r="I286" s="329"/>
      <c r="J286" s="329"/>
      <c r="K286" s="328"/>
      <c r="L286" s="328"/>
      <c r="M286" s="328"/>
      <c r="N286" s="328"/>
      <c r="O286" s="328"/>
      <c r="P286" s="328"/>
      <c r="Q286" s="328"/>
      <c r="R286" s="328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8"/>
      <c r="BA286" s="328"/>
      <c r="BB286" s="328"/>
      <c r="BC286" s="328"/>
      <c r="BD286" s="328"/>
      <c r="BE286" s="328"/>
      <c r="BF286" s="328"/>
      <c r="BG286" s="328"/>
      <c r="BH286" s="328"/>
      <c r="BI286" s="328"/>
      <c r="BJ286" s="328"/>
      <c r="BK286" s="328"/>
      <c r="BL286" s="328"/>
      <c r="BM286" s="328"/>
      <c r="BN286" s="328"/>
      <c r="BO286" s="328"/>
      <c r="BP286" s="328"/>
      <c r="BQ286" s="328"/>
      <c r="BR286" s="328"/>
      <c r="BS286" s="328"/>
      <c r="BT286" s="328"/>
      <c r="BU286" s="328"/>
      <c r="BV286" s="328"/>
      <c r="BW286" s="328"/>
      <c r="BX286" s="328"/>
      <c r="BY286" s="328"/>
      <c r="BZ286" s="328"/>
      <c r="CA286" s="328"/>
      <c r="CB286" s="328"/>
      <c r="CC286" s="328"/>
      <c r="CD286" s="328"/>
      <c r="CE286" s="328"/>
      <c r="CF286" s="328"/>
      <c r="CG286" s="328"/>
      <c r="CH286" s="328"/>
      <c r="CI286" s="328"/>
      <c r="CJ286" s="328"/>
      <c r="CK286" s="328"/>
      <c r="CL286" s="328"/>
      <c r="CM286" s="328"/>
      <c r="CN286" s="328"/>
      <c r="CO286" s="328"/>
      <c r="CP286" s="328"/>
      <c r="CQ286" s="328"/>
      <c r="CR286" s="328"/>
      <c r="CS286" s="328"/>
      <c r="CT286" s="328"/>
      <c r="CU286" s="328"/>
      <c r="CV286" s="328"/>
      <c r="CW286" s="328"/>
      <c r="CX286" s="328"/>
      <c r="CY286" s="328"/>
      <c r="CZ286" s="328"/>
      <c r="DA286" s="328"/>
      <c r="DB286" s="328"/>
      <c r="DC286" s="328"/>
      <c r="DD286" s="328"/>
      <c r="DE286" s="328"/>
      <c r="DF286" s="328"/>
      <c r="DG286" s="328"/>
      <c r="DH286" s="328"/>
      <c r="DI286" s="328"/>
      <c r="DJ286" s="328"/>
      <c r="DK286" s="328"/>
      <c r="DL286" s="328"/>
      <c r="DM286" s="328"/>
      <c r="DN286" s="328"/>
      <c r="DO286" s="328"/>
      <c r="DP286" s="328"/>
      <c r="DQ286" s="328"/>
      <c r="DR286" s="328"/>
      <c r="DS286" s="328"/>
      <c r="DT286" s="328"/>
      <c r="DU286" s="328"/>
      <c r="DV286" s="328"/>
      <c r="DW286" s="328"/>
      <c r="DX286" s="328"/>
      <c r="DY286" s="328"/>
      <c r="DZ286" s="328"/>
      <c r="EA286" s="328"/>
      <c r="EB286" s="328"/>
      <c r="EC286" s="328"/>
      <c r="ED286" s="328"/>
      <c r="EE286" s="328"/>
      <c r="EF286" s="328"/>
      <c r="EG286" s="328"/>
      <c r="EH286" s="328"/>
      <c r="EI286" s="328"/>
      <c r="EJ286" s="328"/>
      <c r="EK286" s="328"/>
      <c r="EL286" s="328"/>
      <c r="EM286" s="328"/>
      <c r="EN286" s="328"/>
      <c r="EO286" s="328"/>
      <c r="EP286" s="328"/>
      <c r="EQ286" s="328"/>
      <c r="ER286" s="328"/>
      <c r="ES286" s="328"/>
      <c r="ET286" s="328"/>
      <c r="EU286" s="328"/>
      <c r="EV286" s="328"/>
      <c r="EW286" s="328"/>
      <c r="EX286" s="328"/>
      <c r="EY286" s="328"/>
      <c r="EZ286" s="328"/>
      <c r="FA286" s="328"/>
      <c r="FB286" s="328"/>
      <c r="FC286" s="328"/>
      <c r="FD286" s="328"/>
      <c r="FE286" s="328"/>
      <c r="FF286" s="328"/>
      <c r="FG286" s="328"/>
      <c r="FH286" s="328"/>
      <c r="FI286" s="328"/>
      <c r="FJ286" s="328"/>
      <c r="FK286" s="328"/>
      <c r="FL286" s="328"/>
      <c r="FM286" s="328"/>
      <c r="FN286" s="328"/>
      <c r="FO286" s="328"/>
      <c r="FP286" s="328"/>
      <c r="FQ286" s="328"/>
      <c r="FR286" s="328"/>
      <c r="FS286" s="328"/>
      <c r="FT286" s="328"/>
      <c r="FU286" s="328"/>
      <c r="FV286" s="328"/>
      <c r="FW286" s="328"/>
      <c r="FX286" s="328"/>
      <c r="FY286" s="328"/>
      <c r="FZ286" s="328"/>
      <c r="GA286" s="328"/>
      <c r="GB286" s="328"/>
      <c r="GC286" s="328"/>
    </row>
    <row r="287" spans="1:185" ht="24" customHeight="1">
      <c r="H287" s="329"/>
      <c r="I287" s="329"/>
      <c r="J287" s="329"/>
      <c r="K287" s="329"/>
      <c r="L287" s="328"/>
      <c r="M287" s="328"/>
      <c r="N287" s="328"/>
      <c r="O287" s="328"/>
      <c r="P287" s="328"/>
      <c r="Q287" s="328"/>
      <c r="R287" s="328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8"/>
      <c r="BA287" s="328"/>
      <c r="BB287" s="328"/>
      <c r="BC287" s="328"/>
      <c r="BD287" s="328"/>
      <c r="BE287" s="328"/>
      <c r="BF287" s="328"/>
      <c r="BG287" s="328"/>
      <c r="BH287" s="328"/>
      <c r="BI287" s="328"/>
      <c r="BJ287" s="328"/>
      <c r="BK287" s="328"/>
      <c r="BL287" s="328"/>
      <c r="BM287" s="328"/>
      <c r="BN287" s="328"/>
      <c r="BO287" s="328"/>
      <c r="BP287" s="328"/>
      <c r="BQ287" s="328"/>
      <c r="BR287" s="328"/>
      <c r="BS287" s="328"/>
      <c r="BT287" s="328"/>
      <c r="BU287" s="328"/>
      <c r="BV287" s="328"/>
      <c r="BW287" s="328"/>
      <c r="BX287" s="328"/>
      <c r="BY287" s="328"/>
      <c r="BZ287" s="328"/>
      <c r="CA287" s="328"/>
      <c r="CB287" s="328"/>
      <c r="CC287" s="328"/>
      <c r="CD287" s="328"/>
      <c r="CE287" s="328"/>
      <c r="CF287" s="328"/>
      <c r="CG287" s="328"/>
      <c r="CH287" s="328"/>
      <c r="CI287" s="328"/>
      <c r="CJ287" s="328"/>
      <c r="CK287" s="328"/>
      <c r="CL287" s="328"/>
      <c r="CM287" s="328"/>
      <c r="CN287" s="328"/>
      <c r="CO287" s="328"/>
      <c r="CP287" s="328"/>
      <c r="CQ287" s="328"/>
      <c r="CR287" s="328"/>
      <c r="CS287" s="328"/>
      <c r="CT287" s="328"/>
      <c r="CU287" s="328"/>
      <c r="CV287" s="328"/>
      <c r="CW287" s="328"/>
      <c r="CX287" s="328"/>
      <c r="CY287" s="328"/>
      <c r="CZ287" s="328"/>
      <c r="DA287" s="328"/>
      <c r="DB287" s="328"/>
      <c r="DC287" s="328"/>
      <c r="DD287" s="328"/>
      <c r="DE287" s="328"/>
      <c r="DF287" s="328"/>
      <c r="DG287" s="328"/>
      <c r="DH287" s="328"/>
      <c r="DI287" s="328"/>
      <c r="DJ287" s="328"/>
      <c r="DK287" s="328"/>
      <c r="DL287" s="328"/>
      <c r="DM287" s="328"/>
      <c r="DN287" s="328"/>
      <c r="DO287" s="328"/>
      <c r="DP287" s="328"/>
      <c r="DQ287" s="328"/>
      <c r="DR287" s="328"/>
      <c r="DS287" s="328"/>
      <c r="DT287" s="328"/>
      <c r="DU287" s="328"/>
      <c r="DV287" s="328"/>
      <c r="DW287" s="328"/>
      <c r="DX287" s="328"/>
      <c r="DY287" s="328"/>
      <c r="DZ287" s="328"/>
      <c r="EA287" s="328"/>
      <c r="EB287" s="328"/>
      <c r="EC287" s="328"/>
      <c r="ED287" s="328"/>
      <c r="EE287" s="328"/>
      <c r="EF287" s="328"/>
      <c r="EG287" s="328"/>
      <c r="EH287" s="328"/>
      <c r="EI287" s="328"/>
      <c r="EJ287" s="328"/>
      <c r="EK287" s="328"/>
      <c r="EL287" s="328"/>
      <c r="EM287" s="328"/>
      <c r="EN287" s="328"/>
      <c r="EO287" s="328"/>
      <c r="EP287" s="328"/>
      <c r="EQ287" s="328"/>
      <c r="ER287" s="328"/>
      <c r="ES287" s="328"/>
      <c r="ET287" s="328"/>
      <c r="EU287" s="328"/>
      <c r="EV287" s="328"/>
      <c r="EW287" s="328"/>
      <c r="EX287" s="328"/>
      <c r="EY287" s="328"/>
      <c r="EZ287" s="328"/>
      <c r="FA287" s="328"/>
      <c r="FB287" s="328"/>
      <c r="FC287" s="328"/>
      <c r="FD287" s="328"/>
      <c r="FE287" s="328"/>
      <c r="FF287" s="328"/>
      <c r="FG287" s="328"/>
      <c r="FH287" s="328"/>
      <c r="FI287" s="328"/>
      <c r="FJ287" s="328"/>
      <c r="FK287" s="328"/>
      <c r="FL287" s="328"/>
      <c r="FM287" s="328"/>
      <c r="FN287" s="328"/>
      <c r="FO287" s="328"/>
      <c r="FP287" s="328"/>
      <c r="FQ287" s="328"/>
      <c r="FR287" s="328"/>
      <c r="FS287" s="328"/>
      <c r="FT287" s="328"/>
      <c r="FU287" s="328"/>
      <c r="FV287" s="328"/>
      <c r="FW287" s="328"/>
      <c r="FX287" s="328"/>
      <c r="FY287" s="328"/>
      <c r="FZ287" s="328"/>
      <c r="GA287" s="328"/>
      <c r="GB287" s="328"/>
      <c r="GC287" s="328"/>
    </row>
    <row r="288" spans="1:185" ht="24" customHeight="1">
      <c r="H288" s="329"/>
      <c r="I288" s="329"/>
      <c r="J288" s="329"/>
      <c r="K288" s="329"/>
      <c r="L288" s="328"/>
      <c r="M288" s="328"/>
      <c r="N288" s="328"/>
      <c r="O288" s="328"/>
      <c r="P288" s="328"/>
      <c r="Q288" s="328"/>
      <c r="R288" s="328"/>
      <c r="S288" s="328"/>
      <c r="T288" s="328"/>
      <c r="U288" s="328"/>
      <c r="V288" s="328"/>
      <c r="W288" s="328"/>
      <c r="X288" s="328"/>
      <c r="Y288" s="328"/>
      <c r="Z288" s="328"/>
      <c r="AA288" s="328"/>
      <c r="AB288" s="328"/>
      <c r="AC288" s="328"/>
      <c r="AD288" s="328"/>
      <c r="AE288" s="328"/>
      <c r="AF288" s="328"/>
      <c r="AG288" s="328"/>
      <c r="AH288" s="328"/>
      <c r="AI288" s="328"/>
      <c r="AJ288" s="328"/>
      <c r="AK288" s="328"/>
      <c r="AL288" s="328"/>
      <c r="AM288" s="328"/>
      <c r="AN288" s="328"/>
      <c r="AO288" s="328"/>
      <c r="AP288" s="328"/>
      <c r="AQ288" s="328"/>
      <c r="AR288" s="328"/>
      <c r="AS288" s="328"/>
      <c r="AT288" s="328"/>
      <c r="AU288" s="328"/>
      <c r="AV288" s="328"/>
      <c r="AW288" s="328"/>
      <c r="AX288" s="328"/>
      <c r="AY288" s="328"/>
      <c r="AZ288" s="328"/>
      <c r="BA288" s="328"/>
      <c r="BB288" s="328"/>
      <c r="BC288" s="328"/>
      <c r="BD288" s="328"/>
      <c r="BE288" s="328"/>
      <c r="BF288" s="328"/>
      <c r="BG288" s="328"/>
      <c r="BH288" s="328"/>
      <c r="BI288" s="328"/>
      <c r="BJ288" s="328"/>
      <c r="BK288" s="328"/>
      <c r="BL288" s="328"/>
      <c r="BM288" s="328"/>
      <c r="BN288" s="328"/>
      <c r="BO288" s="328"/>
      <c r="BP288" s="328"/>
      <c r="BQ288" s="328"/>
      <c r="BR288" s="328"/>
      <c r="BS288" s="328"/>
      <c r="BT288" s="328"/>
      <c r="BU288" s="328"/>
      <c r="BV288" s="328"/>
      <c r="BW288" s="328"/>
      <c r="BX288" s="328"/>
      <c r="BY288" s="328"/>
      <c r="BZ288" s="328"/>
      <c r="CA288" s="328"/>
      <c r="CB288" s="328"/>
      <c r="CC288" s="328"/>
      <c r="CD288" s="328"/>
      <c r="CE288" s="328"/>
      <c r="CF288" s="328"/>
      <c r="CG288" s="328"/>
      <c r="CH288" s="328"/>
      <c r="CI288" s="328"/>
      <c r="CJ288" s="328"/>
      <c r="CK288" s="328"/>
      <c r="CL288" s="328"/>
      <c r="CM288" s="328"/>
      <c r="CN288" s="328"/>
      <c r="CO288" s="328"/>
      <c r="CP288" s="328"/>
      <c r="CQ288" s="328"/>
      <c r="CR288" s="328"/>
      <c r="CS288" s="328"/>
      <c r="CT288" s="328"/>
      <c r="CU288" s="328"/>
      <c r="CV288" s="328"/>
      <c r="CW288" s="328"/>
      <c r="CX288" s="328"/>
      <c r="CY288" s="328"/>
      <c r="CZ288" s="328"/>
      <c r="DA288" s="328"/>
      <c r="DB288" s="328"/>
      <c r="DC288" s="328"/>
      <c r="DD288" s="328"/>
      <c r="DE288" s="328"/>
      <c r="DF288" s="328"/>
      <c r="DG288" s="328"/>
      <c r="DH288" s="328"/>
      <c r="DI288" s="328"/>
      <c r="DJ288" s="328"/>
      <c r="DK288" s="328"/>
      <c r="DL288" s="328"/>
      <c r="DM288" s="328"/>
      <c r="DN288" s="328"/>
      <c r="DO288" s="328"/>
      <c r="DP288" s="328"/>
      <c r="DQ288" s="328"/>
      <c r="DR288" s="328"/>
      <c r="DS288" s="328"/>
      <c r="DT288" s="328"/>
      <c r="DU288" s="328"/>
      <c r="DV288" s="328"/>
      <c r="DW288" s="328"/>
      <c r="DX288" s="328"/>
      <c r="DY288" s="328"/>
      <c r="DZ288" s="328"/>
      <c r="EA288" s="328"/>
      <c r="EB288" s="328"/>
      <c r="EC288" s="328"/>
      <c r="ED288" s="328"/>
      <c r="EE288" s="328"/>
      <c r="EF288" s="328"/>
      <c r="EG288" s="328"/>
      <c r="EH288" s="328"/>
      <c r="EI288" s="328"/>
      <c r="EJ288" s="328"/>
      <c r="EK288" s="328"/>
      <c r="EL288" s="328"/>
      <c r="EM288" s="328"/>
      <c r="EN288" s="328"/>
      <c r="EO288" s="328"/>
      <c r="EP288" s="328"/>
      <c r="EQ288" s="328"/>
      <c r="ER288" s="328"/>
      <c r="ES288" s="328"/>
      <c r="ET288" s="328"/>
      <c r="EU288" s="328"/>
      <c r="EV288" s="328"/>
      <c r="EW288" s="328"/>
      <c r="EX288" s="328"/>
      <c r="EY288" s="328"/>
      <c r="EZ288" s="328"/>
      <c r="FA288" s="328"/>
      <c r="FB288" s="328"/>
      <c r="FC288" s="328"/>
      <c r="FD288" s="328"/>
      <c r="FE288" s="328"/>
      <c r="FF288" s="328"/>
      <c r="FG288" s="328"/>
      <c r="FH288" s="328"/>
      <c r="FI288" s="328"/>
      <c r="FJ288" s="328"/>
      <c r="FK288" s="328"/>
      <c r="FL288" s="328"/>
      <c r="FM288" s="328"/>
      <c r="FN288" s="328"/>
      <c r="FO288" s="328"/>
      <c r="FP288" s="328"/>
      <c r="FQ288" s="328"/>
      <c r="FR288" s="328"/>
      <c r="FS288" s="328"/>
      <c r="FT288" s="328"/>
      <c r="FU288" s="328"/>
      <c r="FV288" s="328"/>
      <c r="FW288" s="328"/>
      <c r="FX288" s="328"/>
      <c r="FY288" s="328"/>
      <c r="FZ288" s="328"/>
      <c r="GA288" s="328"/>
      <c r="GB288" s="328"/>
      <c r="GC288" s="328"/>
    </row>
    <row r="289" spans="1:185" ht="24" customHeight="1">
      <c r="H289" s="304"/>
      <c r="I289" s="304"/>
      <c r="J289" s="304"/>
      <c r="K289" s="329"/>
      <c r="L289" s="328"/>
      <c r="M289" s="328"/>
      <c r="N289" s="328"/>
      <c r="O289" s="328"/>
      <c r="P289" s="328"/>
      <c r="Q289" s="328"/>
      <c r="R289" s="328"/>
      <c r="S289" s="328"/>
      <c r="T289" s="328"/>
      <c r="U289" s="328"/>
      <c r="V289" s="328"/>
      <c r="W289" s="328"/>
      <c r="X289" s="328"/>
      <c r="Y289" s="328"/>
      <c r="Z289" s="328"/>
      <c r="AA289" s="328"/>
      <c r="AB289" s="328"/>
      <c r="AC289" s="328"/>
      <c r="AD289" s="328"/>
      <c r="AE289" s="328"/>
      <c r="AF289" s="328"/>
      <c r="AG289" s="328"/>
      <c r="AH289" s="328"/>
      <c r="AI289" s="328"/>
      <c r="AJ289" s="328"/>
      <c r="AK289" s="328"/>
      <c r="AL289" s="328"/>
      <c r="AM289" s="328"/>
      <c r="AN289" s="328"/>
      <c r="AO289" s="328"/>
      <c r="AP289" s="328"/>
      <c r="AQ289" s="328"/>
      <c r="AR289" s="328"/>
      <c r="AS289" s="328"/>
      <c r="AT289" s="328"/>
      <c r="AU289" s="328"/>
      <c r="AV289" s="328"/>
      <c r="AW289" s="328"/>
      <c r="AX289" s="328"/>
      <c r="AY289" s="328"/>
      <c r="AZ289" s="328"/>
      <c r="BA289" s="328"/>
      <c r="BB289" s="328"/>
      <c r="BC289" s="328"/>
      <c r="BD289" s="328"/>
      <c r="BE289" s="328"/>
      <c r="BF289" s="328"/>
      <c r="BG289" s="328"/>
      <c r="BH289" s="328"/>
      <c r="BI289" s="328"/>
      <c r="BJ289" s="328"/>
      <c r="BK289" s="328"/>
      <c r="BL289" s="328"/>
      <c r="BM289" s="328"/>
      <c r="BN289" s="328"/>
      <c r="BO289" s="328"/>
      <c r="BP289" s="328"/>
      <c r="BQ289" s="328"/>
      <c r="BR289" s="328"/>
      <c r="BS289" s="328"/>
      <c r="BT289" s="328"/>
      <c r="BU289" s="328"/>
      <c r="BV289" s="328"/>
      <c r="BW289" s="328"/>
      <c r="BX289" s="328"/>
      <c r="BY289" s="328"/>
      <c r="BZ289" s="328"/>
      <c r="CA289" s="328"/>
      <c r="CB289" s="328"/>
      <c r="CC289" s="328"/>
      <c r="CD289" s="328"/>
      <c r="CE289" s="328"/>
      <c r="CF289" s="328"/>
      <c r="CG289" s="328"/>
      <c r="CH289" s="328"/>
      <c r="CI289" s="328"/>
      <c r="CJ289" s="328"/>
      <c r="CK289" s="328"/>
      <c r="CL289" s="328"/>
      <c r="CM289" s="328"/>
      <c r="CN289" s="328"/>
      <c r="CO289" s="328"/>
      <c r="CP289" s="328"/>
      <c r="CQ289" s="328"/>
      <c r="CR289" s="328"/>
      <c r="CS289" s="328"/>
      <c r="CT289" s="328"/>
      <c r="CU289" s="328"/>
      <c r="CV289" s="328"/>
      <c r="CW289" s="328"/>
      <c r="CX289" s="328"/>
      <c r="CY289" s="328"/>
      <c r="CZ289" s="328"/>
      <c r="DA289" s="328"/>
      <c r="DB289" s="328"/>
      <c r="DC289" s="328"/>
      <c r="DD289" s="328"/>
      <c r="DE289" s="328"/>
      <c r="DF289" s="328"/>
      <c r="DG289" s="328"/>
      <c r="DH289" s="328"/>
      <c r="DI289" s="328"/>
      <c r="DJ289" s="328"/>
      <c r="DK289" s="328"/>
      <c r="DL289" s="328"/>
      <c r="DM289" s="328"/>
      <c r="DN289" s="328"/>
      <c r="DO289" s="328"/>
      <c r="DP289" s="328"/>
      <c r="DQ289" s="328"/>
      <c r="DR289" s="328"/>
      <c r="DS289" s="328"/>
      <c r="DT289" s="328"/>
      <c r="DU289" s="328"/>
      <c r="DV289" s="328"/>
      <c r="DW289" s="328"/>
      <c r="DX289" s="328"/>
      <c r="DY289" s="328"/>
      <c r="DZ289" s="328"/>
      <c r="EA289" s="328"/>
      <c r="EB289" s="328"/>
      <c r="EC289" s="328"/>
      <c r="ED289" s="328"/>
      <c r="EE289" s="328"/>
      <c r="EF289" s="328"/>
      <c r="EG289" s="328"/>
      <c r="EH289" s="328"/>
      <c r="EI289" s="328"/>
      <c r="EJ289" s="328"/>
      <c r="EK289" s="328"/>
      <c r="EL289" s="328"/>
      <c r="EM289" s="328"/>
      <c r="EN289" s="328"/>
      <c r="EO289" s="328"/>
      <c r="EP289" s="328"/>
      <c r="EQ289" s="328"/>
      <c r="ER289" s="328"/>
      <c r="ES289" s="328"/>
      <c r="ET289" s="328"/>
      <c r="EU289" s="328"/>
      <c r="EV289" s="328"/>
      <c r="EW289" s="328"/>
      <c r="EX289" s="328"/>
      <c r="EY289" s="328"/>
      <c r="EZ289" s="328"/>
      <c r="FA289" s="328"/>
      <c r="FB289" s="328"/>
      <c r="FC289" s="328"/>
      <c r="FD289" s="328"/>
      <c r="FE289" s="328"/>
      <c r="FF289" s="328"/>
      <c r="FG289" s="328"/>
      <c r="FH289" s="328"/>
      <c r="FI289" s="328"/>
      <c r="FJ289" s="328"/>
      <c r="FK289" s="328"/>
      <c r="FL289" s="328"/>
      <c r="FM289" s="328"/>
      <c r="FN289" s="328"/>
      <c r="FO289" s="328"/>
      <c r="FP289" s="328"/>
      <c r="FQ289" s="328"/>
      <c r="FR289" s="328"/>
      <c r="FS289" s="328"/>
      <c r="FT289" s="328"/>
      <c r="FU289" s="328"/>
      <c r="FV289" s="328"/>
      <c r="FW289" s="328"/>
      <c r="FX289" s="328"/>
      <c r="FY289" s="328"/>
      <c r="FZ289" s="328"/>
      <c r="GA289" s="328"/>
      <c r="GB289" s="328"/>
      <c r="GC289" s="328"/>
    </row>
    <row r="290" spans="1:185" ht="24" customHeight="1">
      <c r="H290" s="304"/>
      <c r="I290" s="304"/>
      <c r="J290" s="304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  <c r="X290" s="329"/>
      <c r="Y290" s="329"/>
      <c r="Z290" s="329"/>
      <c r="AA290" s="329"/>
      <c r="AB290" s="329"/>
      <c r="AC290" s="329"/>
      <c r="AD290" s="329"/>
      <c r="AE290" s="329"/>
      <c r="AF290" s="329"/>
      <c r="AG290" s="329"/>
      <c r="AH290" s="329"/>
      <c r="AI290" s="329"/>
      <c r="AJ290" s="329"/>
      <c r="AK290" s="329"/>
      <c r="AL290" s="329"/>
      <c r="AM290" s="329"/>
      <c r="AN290" s="329"/>
      <c r="AO290" s="329"/>
      <c r="AP290" s="329"/>
      <c r="AQ290" s="329"/>
      <c r="AR290" s="329"/>
      <c r="AS290" s="329"/>
      <c r="AT290" s="329"/>
      <c r="AU290" s="329"/>
      <c r="AV290" s="329"/>
      <c r="AW290" s="329"/>
      <c r="AX290" s="329"/>
      <c r="AY290" s="329"/>
      <c r="AZ290" s="329"/>
      <c r="BA290" s="329"/>
      <c r="BB290" s="329"/>
      <c r="BC290" s="329"/>
      <c r="BD290" s="329"/>
      <c r="BE290" s="329"/>
      <c r="BF290" s="329"/>
      <c r="BG290" s="329"/>
      <c r="BH290" s="329"/>
      <c r="BI290" s="329"/>
      <c r="BJ290" s="329"/>
      <c r="BK290" s="329"/>
      <c r="BL290" s="329"/>
      <c r="BM290" s="329"/>
      <c r="BN290" s="329"/>
      <c r="BO290" s="329"/>
      <c r="BP290" s="329"/>
      <c r="BQ290" s="329"/>
      <c r="BR290" s="329"/>
      <c r="BS290" s="329"/>
      <c r="BT290" s="329"/>
      <c r="BU290" s="329"/>
      <c r="BV290" s="329"/>
      <c r="BW290" s="329"/>
      <c r="BX290" s="329"/>
      <c r="BY290" s="329"/>
      <c r="BZ290" s="329"/>
      <c r="CA290" s="329"/>
      <c r="CB290" s="329"/>
      <c r="CC290" s="329"/>
      <c r="CD290" s="329"/>
      <c r="CE290" s="329"/>
      <c r="CF290" s="329"/>
      <c r="CG290" s="329"/>
      <c r="CH290" s="329"/>
      <c r="CI290" s="329"/>
      <c r="CJ290" s="329"/>
      <c r="CK290" s="329"/>
      <c r="CL290" s="329"/>
      <c r="CM290" s="329"/>
      <c r="CN290" s="329"/>
      <c r="CO290" s="329"/>
      <c r="CP290" s="329"/>
      <c r="CQ290" s="329"/>
      <c r="CR290" s="329"/>
      <c r="CS290" s="329"/>
      <c r="CT290" s="329"/>
      <c r="CU290" s="329"/>
      <c r="CV290" s="329"/>
      <c r="CW290" s="329"/>
      <c r="CX290" s="329"/>
      <c r="CY290" s="329"/>
      <c r="CZ290" s="329"/>
      <c r="DA290" s="329"/>
      <c r="DB290" s="329"/>
      <c r="DC290" s="329"/>
      <c r="DD290" s="329"/>
      <c r="DE290" s="329"/>
      <c r="DF290" s="329"/>
      <c r="DG290" s="329"/>
      <c r="DH290" s="329"/>
      <c r="DI290" s="329"/>
      <c r="DJ290" s="329"/>
      <c r="DK290" s="329"/>
      <c r="DL290" s="329"/>
      <c r="DM290" s="329"/>
      <c r="DN290" s="329"/>
      <c r="DO290" s="329"/>
      <c r="DP290" s="329"/>
      <c r="DQ290" s="329"/>
      <c r="DR290" s="329"/>
      <c r="DS290" s="329"/>
      <c r="DT290" s="329"/>
      <c r="DU290" s="329"/>
      <c r="DV290" s="329"/>
      <c r="DW290" s="329"/>
      <c r="DX290" s="329"/>
      <c r="DY290" s="329"/>
      <c r="DZ290" s="329"/>
      <c r="EA290" s="329"/>
      <c r="EB290" s="329"/>
      <c r="EC290" s="329"/>
      <c r="ED290" s="329"/>
      <c r="EE290" s="329"/>
      <c r="EF290" s="329"/>
      <c r="EG290" s="329"/>
      <c r="EH290" s="329"/>
      <c r="EI290" s="329"/>
      <c r="EJ290" s="329"/>
      <c r="EK290" s="329"/>
      <c r="EL290" s="329"/>
      <c r="EM290" s="329"/>
      <c r="EN290" s="329"/>
      <c r="EO290" s="329"/>
      <c r="EP290" s="329"/>
      <c r="EQ290" s="329"/>
      <c r="ER290" s="329"/>
      <c r="ES290" s="329"/>
      <c r="ET290" s="329"/>
      <c r="EU290" s="329"/>
      <c r="EV290" s="329"/>
      <c r="EW290" s="329"/>
      <c r="EX290" s="329"/>
      <c r="EY290" s="329"/>
      <c r="EZ290" s="329"/>
      <c r="FA290" s="329"/>
      <c r="FB290" s="329"/>
      <c r="FC290" s="329"/>
      <c r="FD290" s="329"/>
      <c r="FE290" s="329"/>
      <c r="FF290" s="329"/>
      <c r="FG290" s="329"/>
      <c r="FH290" s="329"/>
      <c r="FI290" s="329"/>
      <c r="FJ290" s="329"/>
      <c r="FK290" s="329"/>
      <c r="FL290" s="329"/>
      <c r="FM290" s="329"/>
      <c r="FN290" s="329"/>
      <c r="FO290" s="329"/>
      <c r="FP290" s="329"/>
      <c r="FQ290" s="329"/>
      <c r="FR290" s="329"/>
      <c r="FS290" s="329"/>
      <c r="FT290" s="329"/>
      <c r="FU290" s="329"/>
      <c r="FV290" s="329"/>
      <c r="FW290" s="329"/>
      <c r="FX290" s="329"/>
      <c r="FY290" s="329"/>
      <c r="FZ290" s="329"/>
      <c r="GA290" s="329"/>
      <c r="GB290" s="329"/>
      <c r="GC290" s="329"/>
    </row>
    <row r="291" spans="1:185" ht="24" customHeight="1">
      <c r="K291" s="304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  <c r="AA291" s="329"/>
      <c r="AB291" s="329"/>
      <c r="AC291" s="329"/>
      <c r="AD291" s="329"/>
      <c r="AE291" s="329"/>
      <c r="AF291" s="329"/>
      <c r="AG291" s="329"/>
      <c r="AH291" s="329"/>
      <c r="AI291" s="329"/>
      <c r="AJ291" s="329"/>
      <c r="AK291" s="329"/>
      <c r="AL291" s="329"/>
      <c r="AM291" s="329"/>
      <c r="AN291" s="329"/>
      <c r="AO291" s="329"/>
      <c r="AP291" s="329"/>
      <c r="AQ291" s="329"/>
      <c r="AR291" s="329"/>
      <c r="AS291" s="329"/>
      <c r="AT291" s="329"/>
      <c r="AU291" s="329"/>
      <c r="AV291" s="329"/>
      <c r="AW291" s="329"/>
      <c r="AX291" s="329"/>
      <c r="AY291" s="329"/>
      <c r="AZ291" s="329"/>
      <c r="BA291" s="329"/>
      <c r="BB291" s="329"/>
      <c r="BC291" s="329"/>
      <c r="BD291" s="329"/>
      <c r="BE291" s="329"/>
      <c r="BF291" s="329"/>
      <c r="BG291" s="329"/>
      <c r="BH291" s="329"/>
      <c r="BI291" s="329"/>
      <c r="BJ291" s="329"/>
      <c r="BK291" s="329"/>
      <c r="BL291" s="329"/>
      <c r="BM291" s="329"/>
      <c r="BN291" s="329"/>
      <c r="BO291" s="329"/>
      <c r="BP291" s="329"/>
      <c r="BQ291" s="329"/>
      <c r="BR291" s="329"/>
      <c r="BS291" s="329"/>
      <c r="BT291" s="329"/>
      <c r="BU291" s="329"/>
      <c r="BV291" s="329"/>
      <c r="BW291" s="329"/>
      <c r="BX291" s="329"/>
      <c r="BY291" s="329"/>
      <c r="BZ291" s="329"/>
      <c r="CA291" s="329"/>
      <c r="CB291" s="329"/>
      <c r="CC291" s="329"/>
      <c r="CD291" s="329"/>
      <c r="CE291" s="329"/>
      <c r="CF291" s="329"/>
      <c r="CG291" s="329"/>
      <c r="CH291" s="329"/>
      <c r="CI291" s="329"/>
      <c r="CJ291" s="329"/>
      <c r="CK291" s="329"/>
      <c r="CL291" s="329"/>
      <c r="CM291" s="329"/>
      <c r="CN291" s="329"/>
      <c r="CO291" s="329"/>
      <c r="CP291" s="329"/>
      <c r="CQ291" s="329"/>
      <c r="CR291" s="329"/>
      <c r="CS291" s="329"/>
      <c r="CT291" s="329"/>
      <c r="CU291" s="329"/>
      <c r="CV291" s="329"/>
      <c r="CW291" s="329"/>
      <c r="CX291" s="329"/>
      <c r="CY291" s="329"/>
      <c r="CZ291" s="329"/>
      <c r="DA291" s="329"/>
      <c r="DB291" s="329"/>
      <c r="DC291" s="329"/>
      <c r="DD291" s="329"/>
      <c r="DE291" s="329"/>
      <c r="DF291" s="329"/>
      <c r="DG291" s="329"/>
      <c r="DH291" s="329"/>
      <c r="DI291" s="329"/>
      <c r="DJ291" s="329"/>
      <c r="DK291" s="329"/>
      <c r="DL291" s="329"/>
      <c r="DM291" s="329"/>
      <c r="DN291" s="329"/>
      <c r="DO291" s="329"/>
      <c r="DP291" s="329"/>
      <c r="DQ291" s="329"/>
      <c r="DR291" s="329"/>
      <c r="DS291" s="329"/>
      <c r="DT291" s="329"/>
      <c r="DU291" s="329"/>
      <c r="DV291" s="329"/>
      <c r="DW291" s="329"/>
      <c r="DX291" s="329"/>
      <c r="DY291" s="329"/>
      <c r="DZ291" s="329"/>
      <c r="EA291" s="329"/>
      <c r="EB291" s="329"/>
      <c r="EC291" s="329"/>
      <c r="ED291" s="329"/>
      <c r="EE291" s="329"/>
      <c r="EF291" s="329"/>
      <c r="EG291" s="329"/>
      <c r="EH291" s="329"/>
      <c r="EI291" s="329"/>
      <c r="EJ291" s="329"/>
      <c r="EK291" s="329"/>
      <c r="EL291" s="329"/>
      <c r="EM291" s="329"/>
      <c r="EN291" s="329"/>
      <c r="EO291" s="329"/>
      <c r="EP291" s="329"/>
      <c r="EQ291" s="329"/>
      <c r="ER291" s="329"/>
      <c r="ES291" s="329"/>
      <c r="ET291" s="329"/>
      <c r="EU291" s="329"/>
      <c r="EV291" s="329"/>
      <c r="EW291" s="329"/>
      <c r="EX291" s="329"/>
      <c r="EY291" s="329"/>
      <c r="EZ291" s="329"/>
      <c r="FA291" s="329"/>
      <c r="FB291" s="329"/>
      <c r="FC291" s="329"/>
      <c r="FD291" s="329"/>
      <c r="FE291" s="329"/>
      <c r="FF291" s="329"/>
      <c r="FG291" s="329"/>
      <c r="FH291" s="329"/>
      <c r="FI291" s="329"/>
      <c r="FJ291" s="329"/>
      <c r="FK291" s="329"/>
      <c r="FL291" s="329"/>
      <c r="FM291" s="329"/>
      <c r="FN291" s="329"/>
      <c r="FO291" s="329"/>
      <c r="FP291" s="329"/>
      <c r="FQ291" s="329"/>
      <c r="FR291" s="329"/>
      <c r="FS291" s="329"/>
      <c r="FT291" s="329"/>
      <c r="FU291" s="329"/>
      <c r="FV291" s="329"/>
      <c r="FW291" s="329"/>
      <c r="FX291" s="329"/>
      <c r="FY291" s="329"/>
      <c r="FZ291" s="329"/>
      <c r="GA291" s="329"/>
      <c r="GB291" s="329"/>
      <c r="GC291" s="329"/>
    </row>
    <row r="292" spans="1:185" ht="24" customHeight="1">
      <c r="K292" s="304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29"/>
      <c r="AZ292" s="329"/>
      <c r="BA292" s="329"/>
      <c r="BB292" s="329"/>
      <c r="BC292" s="329"/>
      <c r="BD292" s="329"/>
      <c r="BE292" s="329"/>
      <c r="BF292" s="329"/>
      <c r="BG292" s="329"/>
      <c r="BH292" s="329"/>
      <c r="BI292" s="329"/>
      <c r="BJ292" s="329"/>
      <c r="BK292" s="329"/>
      <c r="BL292" s="329"/>
      <c r="BM292" s="329"/>
      <c r="BN292" s="329"/>
      <c r="BO292" s="329"/>
      <c r="BP292" s="329"/>
      <c r="BQ292" s="329"/>
      <c r="BR292" s="329"/>
      <c r="BS292" s="329"/>
      <c r="BT292" s="329"/>
      <c r="BU292" s="329"/>
      <c r="BV292" s="329"/>
      <c r="BW292" s="329"/>
      <c r="BX292" s="329"/>
      <c r="BY292" s="329"/>
      <c r="BZ292" s="329"/>
      <c r="CA292" s="329"/>
      <c r="CB292" s="329"/>
      <c r="CC292" s="329"/>
      <c r="CD292" s="329"/>
      <c r="CE292" s="329"/>
      <c r="CF292" s="329"/>
      <c r="CG292" s="329"/>
      <c r="CH292" s="329"/>
      <c r="CI292" s="329"/>
      <c r="CJ292" s="329"/>
      <c r="CK292" s="329"/>
      <c r="CL292" s="329"/>
      <c r="CM292" s="329"/>
      <c r="CN292" s="329"/>
      <c r="CO292" s="329"/>
      <c r="CP292" s="329"/>
      <c r="CQ292" s="329"/>
      <c r="CR292" s="329"/>
      <c r="CS292" s="329"/>
      <c r="CT292" s="329"/>
      <c r="CU292" s="329"/>
      <c r="CV292" s="329"/>
      <c r="CW292" s="329"/>
      <c r="CX292" s="329"/>
      <c r="CY292" s="329"/>
      <c r="CZ292" s="329"/>
      <c r="DA292" s="329"/>
      <c r="DB292" s="329"/>
      <c r="DC292" s="329"/>
      <c r="DD292" s="329"/>
      <c r="DE292" s="329"/>
      <c r="DF292" s="329"/>
      <c r="DG292" s="329"/>
      <c r="DH292" s="329"/>
      <c r="DI292" s="329"/>
      <c r="DJ292" s="329"/>
      <c r="DK292" s="329"/>
      <c r="DL292" s="329"/>
      <c r="DM292" s="329"/>
      <c r="DN292" s="329"/>
      <c r="DO292" s="329"/>
      <c r="DP292" s="329"/>
      <c r="DQ292" s="329"/>
      <c r="DR292" s="329"/>
      <c r="DS292" s="329"/>
      <c r="DT292" s="329"/>
      <c r="DU292" s="329"/>
      <c r="DV292" s="329"/>
      <c r="DW292" s="329"/>
      <c r="DX292" s="329"/>
      <c r="DY292" s="329"/>
      <c r="DZ292" s="329"/>
      <c r="EA292" s="329"/>
      <c r="EB292" s="329"/>
      <c r="EC292" s="329"/>
      <c r="ED292" s="329"/>
      <c r="EE292" s="329"/>
      <c r="EF292" s="329"/>
      <c r="EG292" s="329"/>
      <c r="EH292" s="329"/>
      <c r="EI292" s="329"/>
      <c r="EJ292" s="329"/>
      <c r="EK292" s="329"/>
      <c r="EL292" s="329"/>
      <c r="EM292" s="329"/>
      <c r="EN292" s="329"/>
      <c r="EO292" s="329"/>
      <c r="EP292" s="329"/>
      <c r="EQ292" s="329"/>
      <c r="ER292" s="329"/>
      <c r="ES292" s="329"/>
      <c r="ET292" s="329"/>
      <c r="EU292" s="329"/>
      <c r="EV292" s="329"/>
      <c r="EW292" s="329"/>
      <c r="EX292" s="329"/>
      <c r="EY292" s="329"/>
      <c r="EZ292" s="329"/>
      <c r="FA292" s="329"/>
      <c r="FB292" s="329"/>
      <c r="FC292" s="329"/>
      <c r="FD292" s="329"/>
      <c r="FE292" s="329"/>
      <c r="FF292" s="329"/>
      <c r="FG292" s="329"/>
      <c r="FH292" s="329"/>
      <c r="FI292" s="329"/>
      <c r="FJ292" s="329"/>
      <c r="FK292" s="329"/>
      <c r="FL292" s="329"/>
      <c r="FM292" s="329"/>
      <c r="FN292" s="329"/>
      <c r="FO292" s="329"/>
      <c r="FP292" s="329"/>
      <c r="FQ292" s="329"/>
      <c r="FR292" s="329"/>
      <c r="FS292" s="329"/>
      <c r="FT292" s="329"/>
      <c r="FU292" s="329"/>
      <c r="FV292" s="329"/>
      <c r="FW292" s="329"/>
      <c r="FX292" s="329"/>
      <c r="FY292" s="329"/>
      <c r="FZ292" s="329"/>
      <c r="GA292" s="329"/>
      <c r="GB292" s="329"/>
      <c r="GC292" s="329"/>
    </row>
    <row r="293" spans="1:185" ht="24" customHeight="1"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29"/>
      <c r="AS293" s="329"/>
      <c r="AT293" s="329"/>
      <c r="AU293" s="329"/>
      <c r="AV293" s="329"/>
      <c r="AW293" s="329"/>
      <c r="AX293" s="329"/>
      <c r="AY293" s="329"/>
      <c r="AZ293" s="329"/>
      <c r="BA293" s="329"/>
      <c r="BB293" s="329"/>
      <c r="BC293" s="329"/>
      <c r="BD293" s="329"/>
      <c r="BE293" s="329"/>
      <c r="BF293" s="329"/>
      <c r="BG293" s="329"/>
      <c r="BH293" s="329"/>
      <c r="BI293" s="329"/>
      <c r="BJ293" s="329"/>
      <c r="BK293" s="329"/>
      <c r="BL293" s="329"/>
      <c r="BM293" s="329"/>
      <c r="BN293" s="329"/>
      <c r="BO293" s="329"/>
      <c r="BP293" s="329"/>
      <c r="BQ293" s="329"/>
      <c r="BR293" s="329"/>
      <c r="BS293" s="329"/>
      <c r="BT293" s="329"/>
      <c r="BU293" s="329"/>
      <c r="BV293" s="329"/>
      <c r="BW293" s="329"/>
      <c r="BX293" s="329"/>
      <c r="BY293" s="329"/>
      <c r="BZ293" s="329"/>
      <c r="CA293" s="329"/>
      <c r="CB293" s="329"/>
      <c r="CC293" s="329"/>
      <c r="CD293" s="329"/>
      <c r="CE293" s="329"/>
      <c r="CF293" s="329"/>
      <c r="CG293" s="329"/>
      <c r="CH293" s="329"/>
      <c r="CI293" s="329"/>
      <c r="CJ293" s="329"/>
      <c r="CK293" s="329"/>
      <c r="CL293" s="329"/>
      <c r="CM293" s="329"/>
      <c r="CN293" s="329"/>
      <c r="CO293" s="329"/>
      <c r="CP293" s="329"/>
      <c r="CQ293" s="329"/>
      <c r="CR293" s="329"/>
      <c r="CS293" s="329"/>
      <c r="CT293" s="329"/>
      <c r="CU293" s="329"/>
      <c r="CV293" s="329"/>
      <c r="CW293" s="329"/>
      <c r="CX293" s="329"/>
      <c r="CY293" s="329"/>
      <c r="CZ293" s="329"/>
      <c r="DA293" s="329"/>
      <c r="DB293" s="329"/>
      <c r="DC293" s="329"/>
      <c r="DD293" s="329"/>
      <c r="DE293" s="329"/>
      <c r="DF293" s="329"/>
      <c r="DG293" s="329"/>
      <c r="DH293" s="329"/>
      <c r="DI293" s="329"/>
      <c r="DJ293" s="329"/>
      <c r="DK293" s="329"/>
      <c r="DL293" s="329"/>
      <c r="DM293" s="329"/>
      <c r="DN293" s="329"/>
      <c r="DO293" s="329"/>
      <c r="DP293" s="329"/>
      <c r="DQ293" s="329"/>
      <c r="DR293" s="329"/>
      <c r="DS293" s="329"/>
      <c r="DT293" s="329"/>
      <c r="DU293" s="329"/>
      <c r="DV293" s="329"/>
      <c r="DW293" s="329"/>
      <c r="DX293" s="329"/>
      <c r="DY293" s="329"/>
      <c r="DZ293" s="329"/>
      <c r="EA293" s="329"/>
      <c r="EB293" s="329"/>
      <c r="EC293" s="329"/>
      <c r="ED293" s="329"/>
      <c r="EE293" s="329"/>
      <c r="EF293" s="329"/>
      <c r="EG293" s="329"/>
      <c r="EH293" s="329"/>
      <c r="EI293" s="329"/>
      <c r="EJ293" s="329"/>
      <c r="EK293" s="329"/>
      <c r="EL293" s="329"/>
      <c r="EM293" s="329"/>
      <c r="EN293" s="329"/>
      <c r="EO293" s="329"/>
      <c r="EP293" s="329"/>
      <c r="EQ293" s="329"/>
      <c r="ER293" s="329"/>
      <c r="ES293" s="329"/>
      <c r="ET293" s="329"/>
      <c r="EU293" s="329"/>
      <c r="EV293" s="329"/>
      <c r="EW293" s="329"/>
      <c r="EX293" s="329"/>
      <c r="EY293" s="329"/>
      <c r="EZ293" s="329"/>
      <c r="FA293" s="329"/>
      <c r="FB293" s="329"/>
      <c r="FC293" s="329"/>
      <c r="FD293" s="329"/>
      <c r="FE293" s="329"/>
      <c r="FF293" s="329"/>
      <c r="FG293" s="329"/>
      <c r="FH293" s="329"/>
      <c r="FI293" s="329"/>
      <c r="FJ293" s="329"/>
      <c r="FK293" s="329"/>
      <c r="FL293" s="329"/>
      <c r="FM293" s="329"/>
      <c r="FN293" s="329"/>
      <c r="FO293" s="329"/>
      <c r="FP293" s="329"/>
      <c r="FQ293" s="329"/>
      <c r="FR293" s="329"/>
      <c r="FS293" s="329"/>
      <c r="FT293" s="329"/>
      <c r="FU293" s="329"/>
      <c r="FV293" s="329"/>
      <c r="FW293" s="329"/>
      <c r="FX293" s="329"/>
      <c r="FY293" s="329"/>
      <c r="FZ293" s="329"/>
      <c r="GA293" s="329"/>
      <c r="GB293" s="329"/>
      <c r="GC293" s="329"/>
    </row>
    <row r="294" spans="1:185" s="304" customFormat="1" ht="24" customHeight="1">
      <c r="A294" s="299"/>
      <c r="B294" s="319"/>
      <c r="C294" s="314"/>
      <c r="D294" s="303"/>
      <c r="E294" s="300"/>
      <c r="F294" s="300"/>
      <c r="G294" s="301"/>
      <c r="H294" s="302"/>
      <c r="I294" s="302"/>
      <c r="J294" s="302"/>
      <c r="K294" s="302"/>
    </row>
    <row r="295" spans="1:185" s="304" customFormat="1" ht="24" customHeight="1">
      <c r="A295" s="299"/>
      <c r="B295" s="319"/>
      <c r="C295" s="314"/>
      <c r="D295" s="303"/>
      <c r="E295" s="300"/>
      <c r="F295" s="300"/>
      <c r="G295" s="301"/>
      <c r="H295" s="302"/>
      <c r="I295" s="302"/>
      <c r="J295" s="302"/>
      <c r="K295" s="302"/>
    </row>
  </sheetData>
  <mergeCells count="14">
    <mergeCell ref="B54:C54"/>
    <mergeCell ref="B47:E47"/>
    <mergeCell ref="B45:E45"/>
    <mergeCell ref="B75:G75"/>
    <mergeCell ref="B76:G76"/>
    <mergeCell ref="B69:E69"/>
    <mergeCell ref="B67:E67"/>
    <mergeCell ref="B58:C58"/>
    <mergeCell ref="B7:G7"/>
    <mergeCell ref="A15:G15"/>
    <mergeCell ref="A14:G14"/>
    <mergeCell ref="A9:E9"/>
    <mergeCell ref="B12:E12"/>
    <mergeCell ref="A13:G13"/>
  </mergeCells>
  <pageMargins left="0.7" right="0.7" top="0.75" bottom="0.75" header="0.3" footer="0.3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00"/>
  </sheetPr>
  <dimension ref="A1:J96"/>
  <sheetViews>
    <sheetView view="pageBreakPreview" zoomScaleNormal="100" zoomScaleSheetLayoutView="100" workbookViewId="0"/>
  </sheetViews>
  <sheetFormatPr defaultColWidth="9.109375" defaultRowHeight="18.600000000000001"/>
  <cols>
    <col min="1" max="1" width="8.33203125" style="107" customWidth="1"/>
    <col min="2" max="2" width="96.44140625" style="107" bestFit="1" customWidth="1"/>
    <col min="3" max="3" width="12.109375" style="108" customWidth="1"/>
    <col min="4" max="4" width="19.109375" style="109" customWidth="1"/>
    <col min="5" max="5" width="5.44140625" style="3" customWidth="1"/>
    <col min="6" max="256" width="9.109375" style="3"/>
    <col min="257" max="257" width="3.44140625" style="3" customWidth="1"/>
    <col min="258" max="258" width="96.44140625" style="3" bestFit="1" customWidth="1"/>
    <col min="259" max="259" width="12.109375" style="3" customWidth="1"/>
    <col min="260" max="260" width="13.44140625" style="3" customWidth="1"/>
    <col min="261" max="261" width="5.44140625" style="3" customWidth="1"/>
    <col min="262" max="512" width="9.109375" style="3"/>
    <col min="513" max="513" width="3.44140625" style="3" customWidth="1"/>
    <col min="514" max="514" width="96.44140625" style="3" bestFit="1" customWidth="1"/>
    <col min="515" max="515" width="12.109375" style="3" customWidth="1"/>
    <col min="516" max="516" width="13.44140625" style="3" customWidth="1"/>
    <col min="517" max="517" width="5.44140625" style="3" customWidth="1"/>
    <col min="518" max="768" width="9.109375" style="3"/>
    <col min="769" max="769" width="3.44140625" style="3" customWidth="1"/>
    <col min="770" max="770" width="96.44140625" style="3" bestFit="1" customWidth="1"/>
    <col min="771" max="771" width="12.109375" style="3" customWidth="1"/>
    <col min="772" max="772" width="13.44140625" style="3" customWidth="1"/>
    <col min="773" max="773" width="5.44140625" style="3" customWidth="1"/>
    <col min="774" max="1024" width="9.109375" style="3"/>
    <col min="1025" max="1025" width="3.44140625" style="3" customWidth="1"/>
    <col min="1026" max="1026" width="96.44140625" style="3" bestFit="1" customWidth="1"/>
    <col min="1027" max="1027" width="12.109375" style="3" customWidth="1"/>
    <col min="1028" max="1028" width="13.44140625" style="3" customWidth="1"/>
    <col min="1029" max="1029" width="5.44140625" style="3" customWidth="1"/>
    <col min="1030" max="1280" width="9.109375" style="3"/>
    <col min="1281" max="1281" width="3.44140625" style="3" customWidth="1"/>
    <col min="1282" max="1282" width="96.44140625" style="3" bestFit="1" customWidth="1"/>
    <col min="1283" max="1283" width="12.109375" style="3" customWidth="1"/>
    <col min="1284" max="1284" width="13.44140625" style="3" customWidth="1"/>
    <col min="1285" max="1285" width="5.44140625" style="3" customWidth="1"/>
    <col min="1286" max="1536" width="9.109375" style="3"/>
    <col min="1537" max="1537" width="3.44140625" style="3" customWidth="1"/>
    <col min="1538" max="1538" width="96.44140625" style="3" bestFit="1" customWidth="1"/>
    <col min="1539" max="1539" width="12.109375" style="3" customWidth="1"/>
    <col min="1540" max="1540" width="13.44140625" style="3" customWidth="1"/>
    <col min="1541" max="1541" width="5.44140625" style="3" customWidth="1"/>
    <col min="1542" max="1792" width="9.109375" style="3"/>
    <col min="1793" max="1793" width="3.44140625" style="3" customWidth="1"/>
    <col min="1794" max="1794" width="96.44140625" style="3" bestFit="1" customWidth="1"/>
    <col min="1795" max="1795" width="12.109375" style="3" customWidth="1"/>
    <col min="1796" max="1796" width="13.44140625" style="3" customWidth="1"/>
    <col min="1797" max="1797" width="5.44140625" style="3" customWidth="1"/>
    <col min="1798" max="2048" width="9.109375" style="3"/>
    <col min="2049" max="2049" width="3.44140625" style="3" customWidth="1"/>
    <col min="2050" max="2050" width="96.44140625" style="3" bestFit="1" customWidth="1"/>
    <col min="2051" max="2051" width="12.109375" style="3" customWidth="1"/>
    <col min="2052" max="2052" width="13.44140625" style="3" customWidth="1"/>
    <col min="2053" max="2053" width="5.44140625" style="3" customWidth="1"/>
    <col min="2054" max="2304" width="9.109375" style="3"/>
    <col min="2305" max="2305" width="3.44140625" style="3" customWidth="1"/>
    <col min="2306" max="2306" width="96.44140625" style="3" bestFit="1" customWidth="1"/>
    <col min="2307" max="2307" width="12.109375" style="3" customWidth="1"/>
    <col min="2308" max="2308" width="13.44140625" style="3" customWidth="1"/>
    <col min="2309" max="2309" width="5.44140625" style="3" customWidth="1"/>
    <col min="2310" max="2560" width="9.109375" style="3"/>
    <col min="2561" max="2561" width="3.44140625" style="3" customWidth="1"/>
    <col min="2562" max="2562" width="96.44140625" style="3" bestFit="1" customWidth="1"/>
    <col min="2563" max="2563" width="12.109375" style="3" customWidth="1"/>
    <col min="2564" max="2564" width="13.44140625" style="3" customWidth="1"/>
    <col min="2565" max="2565" width="5.44140625" style="3" customWidth="1"/>
    <col min="2566" max="2816" width="9.109375" style="3"/>
    <col min="2817" max="2817" width="3.44140625" style="3" customWidth="1"/>
    <col min="2818" max="2818" width="96.44140625" style="3" bestFit="1" customWidth="1"/>
    <col min="2819" max="2819" width="12.109375" style="3" customWidth="1"/>
    <col min="2820" max="2820" width="13.44140625" style="3" customWidth="1"/>
    <col min="2821" max="2821" width="5.44140625" style="3" customWidth="1"/>
    <col min="2822" max="3072" width="9.109375" style="3"/>
    <col min="3073" max="3073" width="3.44140625" style="3" customWidth="1"/>
    <col min="3074" max="3074" width="96.44140625" style="3" bestFit="1" customWidth="1"/>
    <col min="3075" max="3075" width="12.109375" style="3" customWidth="1"/>
    <col min="3076" max="3076" width="13.44140625" style="3" customWidth="1"/>
    <col min="3077" max="3077" width="5.44140625" style="3" customWidth="1"/>
    <col min="3078" max="3328" width="9.109375" style="3"/>
    <col min="3329" max="3329" width="3.44140625" style="3" customWidth="1"/>
    <col min="3330" max="3330" width="96.44140625" style="3" bestFit="1" customWidth="1"/>
    <col min="3331" max="3331" width="12.109375" style="3" customWidth="1"/>
    <col min="3332" max="3332" width="13.44140625" style="3" customWidth="1"/>
    <col min="3333" max="3333" width="5.44140625" style="3" customWidth="1"/>
    <col min="3334" max="3584" width="9.109375" style="3"/>
    <col min="3585" max="3585" width="3.44140625" style="3" customWidth="1"/>
    <col min="3586" max="3586" width="96.44140625" style="3" bestFit="1" customWidth="1"/>
    <col min="3587" max="3587" width="12.109375" style="3" customWidth="1"/>
    <col min="3588" max="3588" width="13.44140625" style="3" customWidth="1"/>
    <col min="3589" max="3589" width="5.44140625" style="3" customWidth="1"/>
    <col min="3590" max="3840" width="9.109375" style="3"/>
    <col min="3841" max="3841" width="3.44140625" style="3" customWidth="1"/>
    <col min="3842" max="3842" width="96.44140625" style="3" bestFit="1" customWidth="1"/>
    <col min="3843" max="3843" width="12.109375" style="3" customWidth="1"/>
    <col min="3844" max="3844" width="13.44140625" style="3" customWidth="1"/>
    <col min="3845" max="3845" width="5.44140625" style="3" customWidth="1"/>
    <col min="3846" max="4096" width="9.109375" style="3"/>
    <col min="4097" max="4097" width="3.44140625" style="3" customWidth="1"/>
    <col min="4098" max="4098" width="96.44140625" style="3" bestFit="1" customWidth="1"/>
    <col min="4099" max="4099" width="12.109375" style="3" customWidth="1"/>
    <col min="4100" max="4100" width="13.44140625" style="3" customWidth="1"/>
    <col min="4101" max="4101" width="5.44140625" style="3" customWidth="1"/>
    <col min="4102" max="4352" width="9.109375" style="3"/>
    <col min="4353" max="4353" width="3.44140625" style="3" customWidth="1"/>
    <col min="4354" max="4354" width="96.44140625" style="3" bestFit="1" customWidth="1"/>
    <col min="4355" max="4355" width="12.109375" style="3" customWidth="1"/>
    <col min="4356" max="4356" width="13.44140625" style="3" customWidth="1"/>
    <col min="4357" max="4357" width="5.44140625" style="3" customWidth="1"/>
    <col min="4358" max="4608" width="9.109375" style="3"/>
    <col min="4609" max="4609" width="3.44140625" style="3" customWidth="1"/>
    <col min="4610" max="4610" width="96.44140625" style="3" bestFit="1" customWidth="1"/>
    <col min="4611" max="4611" width="12.109375" style="3" customWidth="1"/>
    <col min="4612" max="4612" width="13.44140625" style="3" customWidth="1"/>
    <col min="4613" max="4613" width="5.44140625" style="3" customWidth="1"/>
    <col min="4614" max="4864" width="9.109375" style="3"/>
    <col min="4865" max="4865" width="3.44140625" style="3" customWidth="1"/>
    <col min="4866" max="4866" width="96.44140625" style="3" bestFit="1" customWidth="1"/>
    <col min="4867" max="4867" width="12.109375" style="3" customWidth="1"/>
    <col min="4868" max="4868" width="13.44140625" style="3" customWidth="1"/>
    <col min="4869" max="4869" width="5.44140625" style="3" customWidth="1"/>
    <col min="4870" max="5120" width="9.109375" style="3"/>
    <col min="5121" max="5121" width="3.44140625" style="3" customWidth="1"/>
    <col min="5122" max="5122" width="96.44140625" style="3" bestFit="1" customWidth="1"/>
    <col min="5123" max="5123" width="12.109375" style="3" customWidth="1"/>
    <col min="5124" max="5124" width="13.44140625" style="3" customWidth="1"/>
    <col min="5125" max="5125" width="5.44140625" style="3" customWidth="1"/>
    <col min="5126" max="5376" width="9.109375" style="3"/>
    <col min="5377" max="5377" width="3.44140625" style="3" customWidth="1"/>
    <col min="5378" max="5378" width="96.44140625" style="3" bestFit="1" customWidth="1"/>
    <col min="5379" max="5379" width="12.109375" style="3" customWidth="1"/>
    <col min="5380" max="5380" width="13.44140625" style="3" customWidth="1"/>
    <col min="5381" max="5381" width="5.44140625" style="3" customWidth="1"/>
    <col min="5382" max="5632" width="9.109375" style="3"/>
    <col min="5633" max="5633" width="3.44140625" style="3" customWidth="1"/>
    <col min="5634" max="5634" width="96.44140625" style="3" bestFit="1" customWidth="1"/>
    <col min="5635" max="5635" width="12.109375" style="3" customWidth="1"/>
    <col min="5636" max="5636" width="13.44140625" style="3" customWidth="1"/>
    <col min="5637" max="5637" width="5.44140625" style="3" customWidth="1"/>
    <col min="5638" max="5888" width="9.109375" style="3"/>
    <col min="5889" max="5889" width="3.44140625" style="3" customWidth="1"/>
    <col min="5890" max="5890" width="96.44140625" style="3" bestFit="1" customWidth="1"/>
    <col min="5891" max="5891" width="12.109375" style="3" customWidth="1"/>
    <col min="5892" max="5892" width="13.44140625" style="3" customWidth="1"/>
    <col min="5893" max="5893" width="5.44140625" style="3" customWidth="1"/>
    <col min="5894" max="6144" width="9.109375" style="3"/>
    <col min="6145" max="6145" width="3.44140625" style="3" customWidth="1"/>
    <col min="6146" max="6146" width="96.44140625" style="3" bestFit="1" customWidth="1"/>
    <col min="6147" max="6147" width="12.109375" style="3" customWidth="1"/>
    <col min="6148" max="6148" width="13.44140625" style="3" customWidth="1"/>
    <col min="6149" max="6149" width="5.44140625" style="3" customWidth="1"/>
    <col min="6150" max="6400" width="9.109375" style="3"/>
    <col min="6401" max="6401" width="3.44140625" style="3" customWidth="1"/>
    <col min="6402" max="6402" width="96.44140625" style="3" bestFit="1" customWidth="1"/>
    <col min="6403" max="6403" width="12.109375" style="3" customWidth="1"/>
    <col min="6404" max="6404" width="13.44140625" style="3" customWidth="1"/>
    <col min="6405" max="6405" width="5.44140625" style="3" customWidth="1"/>
    <col min="6406" max="6656" width="9.109375" style="3"/>
    <col min="6657" max="6657" width="3.44140625" style="3" customWidth="1"/>
    <col min="6658" max="6658" width="96.44140625" style="3" bestFit="1" customWidth="1"/>
    <col min="6659" max="6659" width="12.109375" style="3" customWidth="1"/>
    <col min="6660" max="6660" width="13.44140625" style="3" customWidth="1"/>
    <col min="6661" max="6661" width="5.44140625" style="3" customWidth="1"/>
    <col min="6662" max="6912" width="9.109375" style="3"/>
    <col min="6913" max="6913" width="3.44140625" style="3" customWidth="1"/>
    <col min="6914" max="6914" width="96.44140625" style="3" bestFit="1" customWidth="1"/>
    <col min="6915" max="6915" width="12.109375" style="3" customWidth="1"/>
    <col min="6916" max="6916" width="13.44140625" style="3" customWidth="1"/>
    <col min="6917" max="6917" width="5.44140625" style="3" customWidth="1"/>
    <col min="6918" max="7168" width="9.109375" style="3"/>
    <col min="7169" max="7169" width="3.44140625" style="3" customWidth="1"/>
    <col min="7170" max="7170" width="96.44140625" style="3" bestFit="1" customWidth="1"/>
    <col min="7171" max="7171" width="12.109375" style="3" customWidth="1"/>
    <col min="7172" max="7172" width="13.44140625" style="3" customWidth="1"/>
    <col min="7173" max="7173" width="5.44140625" style="3" customWidth="1"/>
    <col min="7174" max="7424" width="9.109375" style="3"/>
    <col min="7425" max="7425" width="3.44140625" style="3" customWidth="1"/>
    <col min="7426" max="7426" width="96.44140625" style="3" bestFit="1" customWidth="1"/>
    <col min="7427" max="7427" width="12.109375" style="3" customWidth="1"/>
    <col min="7428" max="7428" width="13.44140625" style="3" customWidth="1"/>
    <col min="7429" max="7429" width="5.44140625" style="3" customWidth="1"/>
    <col min="7430" max="7680" width="9.109375" style="3"/>
    <col min="7681" max="7681" width="3.44140625" style="3" customWidth="1"/>
    <col min="7682" max="7682" width="96.44140625" style="3" bestFit="1" customWidth="1"/>
    <col min="7683" max="7683" width="12.109375" style="3" customWidth="1"/>
    <col min="7684" max="7684" width="13.44140625" style="3" customWidth="1"/>
    <col min="7685" max="7685" width="5.44140625" style="3" customWidth="1"/>
    <col min="7686" max="7936" width="9.109375" style="3"/>
    <col min="7937" max="7937" width="3.44140625" style="3" customWidth="1"/>
    <col min="7938" max="7938" width="96.44140625" style="3" bestFit="1" customWidth="1"/>
    <col min="7939" max="7939" width="12.109375" style="3" customWidth="1"/>
    <col min="7940" max="7940" width="13.44140625" style="3" customWidth="1"/>
    <col min="7941" max="7941" width="5.44140625" style="3" customWidth="1"/>
    <col min="7942" max="8192" width="9.109375" style="3"/>
    <col min="8193" max="8193" width="3.44140625" style="3" customWidth="1"/>
    <col min="8194" max="8194" width="96.44140625" style="3" bestFit="1" customWidth="1"/>
    <col min="8195" max="8195" width="12.109375" style="3" customWidth="1"/>
    <col min="8196" max="8196" width="13.44140625" style="3" customWidth="1"/>
    <col min="8197" max="8197" width="5.44140625" style="3" customWidth="1"/>
    <col min="8198" max="8448" width="9.109375" style="3"/>
    <col min="8449" max="8449" width="3.44140625" style="3" customWidth="1"/>
    <col min="8450" max="8450" width="96.44140625" style="3" bestFit="1" customWidth="1"/>
    <col min="8451" max="8451" width="12.109375" style="3" customWidth="1"/>
    <col min="8452" max="8452" width="13.44140625" style="3" customWidth="1"/>
    <col min="8453" max="8453" width="5.44140625" style="3" customWidth="1"/>
    <col min="8454" max="8704" width="9.109375" style="3"/>
    <col min="8705" max="8705" width="3.44140625" style="3" customWidth="1"/>
    <col min="8706" max="8706" width="96.44140625" style="3" bestFit="1" customWidth="1"/>
    <col min="8707" max="8707" width="12.109375" style="3" customWidth="1"/>
    <col min="8708" max="8708" width="13.44140625" style="3" customWidth="1"/>
    <col min="8709" max="8709" width="5.44140625" style="3" customWidth="1"/>
    <col min="8710" max="8960" width="9.109375" style="3"/>
    <col min="8961" max="8961" width="3.44140625" style="3" customWidth="1"/>
    <col min="8962" max="8962" width="96.44140625" style="3" bestFit="1" customWidth="1"/>
    <col min="8963" max="8963" width="12.109375" style="3" customWidth="1"/>
    <col min="8964" max="8964" width="13.44140625" style="3" customWidth="1"/>
    <col min="8965" max="8965" width="5.44140625" style="3" customWidth="1"/>
    <col min="8966" max="9216" width="9.109375" style="3"/>
    <col min="9217" max="9217" width="3.44140625" style="3" customWidth="1"/>
    <col min="9218" max="9218" width="96.44140625" style="3" bestFit="1" customWidth="1"/>
    <col min="9219" max="9219" width="12.109375" style="3" customWidth="1"/>
    <col min="9220" max="9220" width="13.44140625" style="3" customWidth="1"/>
    <col min="9221" max="9221" width="5.44140625" style="3" customWidth="1"/>
    <col min="9222" max="9472" width="9.109375" style="3"/>
    <col min="9473" max="9473" width="3.44140625" style="3" customWidth="1"/>
    <col min="9474" max="9474" width="96.44140625" style="3" bestFit="1" customWidth="1"/>
    <col min="9475" max="9475" width="12.109375" style="3" customWidth="1"/>
    <col min="9476" max="9476" width="13.44140625" style="3" customWidth="1"/>
    <col min="9477" max="9477" width="5.44140625" style="3" customWidth="1"/>
    <col min="9478" max="9728" width="9.109375" style="3"/>
    <col min="9729" max="9729" width="3.44140625" style="3" customWidth="1"/>
    <col min="9730" max="9730" width="96.44140625" style="3" bestFit="1" customWidth="1"/>
    <col min="9731" max="9731" width="12.109375" style="3" customWidth="1"/>
    <col min="9732" max="9732" width="13.44140625" style="3" customWidth="1"/>
    <col min="9733" max="9733" width="5.44140625" style="3" customWidth="1"/>
    <col min="9734" max="9984" width="9.109375" style="3"/>
    <col min="9985" max="9985" width="3.44140625" style="3" customWidth="1"/>
    <col min="9986" max="9986" width="96.44140625" style="3" bestFit="1" customWidth="1"/>
    <col min="9987" max="9987" width="12.109375" style="3" customWidth="1"/>
    <col min="9988" max="9988" width="13.44140625" style="3" customWidth="1"/>
    <col min="9989" max="9989" width="5.44140625" style="3" customWidth="1"/>
    <col min="9990" max="10240" width="9.109375" style="3"/>
    <col min="10241" max="10241" width="3.44140625" style="3" customWidth="1"/>
    <col min="10242" max="10242" width="96.44140625" style="3" bestFit="1" customWidth="1"/>
    <col min="10243" max="10243" width="12.109375" style="3" customWidth="1"/>
    <col min="10244" max="10244" width="13.44140625" style="3" customWidth="1"/>
    <col min="10245" max="10245" width="5.44140625" style="3" customWidth="1"/>
    <col min="10246" max="10496" width="9.109375" style="3"/>
    <col min="10497" max="10497" width="3.44140625" style="3" customWidth="1"/>
    <col min="10498" max="10498" width="96.44140625" style="3" bestFit="1" customWidth="1"/>
    <col min="10499" max="10499" width="12.109375" style="3" customWidth="1"/>
    <col min="10500" max="10500" width="13.44140625" style="3" customWidth="1"/>
    <col min="10501" max="10501" width="5.44140625" style="3" customWidth="1"/>
    <col min="10502" max="10752" width="9.109375" style="3"/>
    <col min="10753" max="10753" width="3.44140625" style="3" customWidth="1"/>
    <col min="10754" max="10754" width="96.44140625" style="3" bestFit="1" customWidth="1"/>
    <col min="10755" max="10755" width="12.109375" style="3" customWidth="1"/>
    <col min="10756" max="10756" width="13.44140625" style="3" customWidth="1"/>
    <col min="10757" max="10757" width="5.44140625" style="3" customWidth="1"/>
    <col min="10758" max="11008" width="9.109375" style="3"/>
    <col min="11009" max="11009" width="3.44140625" style="3" customWidth="1"/>
    <col min="11010" max="11010" width="96.44140625" style="3" bestFit="1" customWidth="1"/>
    <col min="11011" max="11011" width="12.109375" style="3" customWidth="1"/>
    <col min="11012" max="11012" width="13.44140625" style="3" customWidth="1"/>
    <col min="11013" max="11013" width="5.44140625" style="3" customWidth="1"/>
    <col min="11014" max="11264" width="9.109375" style="3"/>
    <col min="11265" max="11265" width="3.44140625" style="3" customWidth="1"/>
    <col min="11266" max="11266" width="96.44140625" style="3" bestFit="1" customWidth="1"/>
    <col min="11267" max="11267" width="12.109375" style="3" customWidth="1"/>
    <col min="11268" max="11268" width="13.44140625" style="3" customWidth="1"/>
    <col min="11269" max="11269" width="5.44140625" style="3" customWidth="1"/>
    <col min="11270" max="11520" width="9.109375" style="3"/>
    <col min="11521" max="11521" width="3.44140625" style="3" customWidth="1"/>
    <col min="11522" max="11522" width="96.44140625" style="3" bestFit="1" customWidth="1"/>
    <col min="11523" max="11523" width="12.109375" style="3" customWidth="1"/>
    <col min="11524" max="11524" width="13.44140625" style="3" customWidth="1"/>
    <col min="11525" max="11525" width="5.44140625" style="3" customWidth="1"/>
    <col min="11526" max="11776" width="9.109375" style="3"/>
    <col min="11777" max="11777" width="3.44140625" style="3" customWidth="1"/>
    <col min="11778" max="11778" width="96.44140625" style="3" bestFit="1" customWidth="1"/>
    <col min="11779" max="11779" width="12.109375" style="3" customWidth="1"/>
    <col min="11780" max="11780" width="13.44140625" style="3" customWidth="1"/>
    <col min="11781" max="11781" width="5.44140625" style="3" customWidth="1"/>
    <col min="11782" max="12032" width="9.109375" style="3"/>
    <col min="12033" max="12033" width="3.44140625" style="3" customWidth="1"/>
    <col min="12034" max="12034" width="96.44140625" style="3" bestFit="1" customWidth="1"/>
    <col min="12035" max="12035" width="12.109375" style="3" customWidth="1"/>
    <col min="12036" max="12036" width="13.44140625" style="3" customWidth="1"/>
    <col min="12037" max="12037" width="5.44140625" style="3" customWidth="1"/>
    <col min="12038" max="12288" width="9.109375" style="3"/>
    <col min="12289" max="12289" width="3.44140625" style="3" customWidth="1"/>
    <col min="12290" max="12290" width="96.44140625" style="3" bestFit="1" customWidth="1"/>
    <col min="12291" max="12291" width="12.109375" style="3" customWidth="1"/>
    <col min="12292" max="12292" width="13.44140625" style="3" customWidth="1"/>
    <col min="12293" max="12293" width="5.44140625" style="3" customWidth="1"/>
    <col min="12294" max="12544" width="9.109375" style="3"/>
    <col min="12545" max="12545" width="3.44140625" style="3" customWidth="1"/>
    <col min="12546" max="12546" width="96.44140625" style="3" bestFit="1" customWidth="1"/>
    <col min="12547" max="12547" width="12.109375" style="3" customWidth="1"/>
    <col min="12548" max="12548" width="13.44140625" style="3" customWidth="1"/>
    <col min="12549" max="12549" width="5.44140625" style="3" customWidth="1"/>
    <col min="12550" max="12800" width="9.109375" style="3"/>
    <col min="12801" max="12801" width="3.44140625" style="3" customWidth="1"/>
    <col min="12802" max="12802" width="96.44140625" style="3" bestFit="1" customWidth="1"/>
    <col min="12803" max="12803" width="12.109375" style="3" customWidth="1"/>
    <col min="12804" max="12804" width="13.44140625" style="3" customWidth="1"/>
    <col min="12805" max="12805" width="5.44140625" style="3" customWidth="1"/>
    <col min="12806" max="13056" width="9.109375" style="3"/>
    <col min="13057" max="13057" width="3.44140625" style="3" customWidth="1"/>
    <col min="13058" max="13058" width="96.44140625" style="3" bestFit="1" customWidth="1"/>
    <col min="13059" max="13059" width="12.109375" style="3" customWidth="1"/>
    <col min="13060" max="13060" width="13.44140625" style="3" customWidth="1"/>
    <col min="13061" max="13061" width="5.44140625" style="3" customWidth="1"/>
    <col min="13062" max="13312" width="9.109375" style="3"/>
    <col min="13313" max="13313" width="3.44140625" style="3" customWidth="1"/>
    <col min="13314" max="13314" width="96.44140625" style="3" bestFit="1" customWidth="1"/>
    <col min="13315" max="13315" width="12.109375" style="3" customWidth="1"/>
    <col min="13316" max="13316" width="13.44140625" style="3" customWidth="1"/>
    <col min="13317" max="13317" width="5.44140625" style="3" customWidth="1"/>
    <col min="13318" max="13568" width="9.109375" style="3"/>
    <col min="13569" max="13569" width="3.44140625" style="3" customWidth="1"/>
    <col min="13570" max="13570" width="96.44140625" style="3" bestFit="1" customWidth="1"/>
    <col min="13571" max="13571" width="12.109375" style="3" customWidth="1"/>
    <col min="13572" max="13572" width="13.44140625" style="3" customWidth="1"/>
    <col min="13573" max="13573" width="5.44140625" style="3" customWidth="1"/>
    <col min="13574" max="13824" width="9.109375" style="3"/>
    <col min="13825" max="13825" width="3.44140625" style="3" customWidth="1"/>
    <col min="13826" max="13826" width="96.44140625" style="3" bestFit="1" customWidth="1"/>
    <col min="13827" max="13827" width="12.109375" style="3" customWidth="1"/>
    <col min="13828" max="13828" width="13.44140625" style="3" customWidth="1"/>
    <col min="13829" max="13829" width="5.44140625" style="3" customWidth="1"/>
    <col min="13830" max="14080" width="9.109375" style="3"/>
    <col min="14081" max="14081" width="3.44140625" style="3" customWidth="1"/>
    <col min="14082" max="14082" width="96.44140625" style="3" bestFit="1" customWidth="1"/>
    <col min="14083" max="14083" width="12.109375" style="3" customWidth="1"/>
    <col min="14084" max="14084" width="13.44140625" style="3" customWidth="1"/>
    <col min="14085" max="14085" width="5.44140625" style="3" customWidth="1"/>
    <col min="14086" max="14336" width="9.109375" style="3"/>
    <col min="14337" max="14337" width="3.44140625" style="3" customWidth="1"/>
    <col min="14338" max="14338" width="96.44140625" style="3" bestFit="1" customWidth="1"/>
    <col min="14339" max="14339" width="12.109375" style="3" customWidth="1"/>
    <col min="14340" max="14340" width="13.44140625" style="3" customWidth="1"/>
    <col min="14341" max="14341" width="5.44140625" style="3" customWidth="1"/>
    <col min="14342" max="14592" width="9.109375" style="3"/>
    <col min="14593" max="14593" width="3.44140625" style="3" customWidth="1"/>
    <col min="14594" max="14594" width="96.44140625" style="3" bestFit="1" customWidth="1"/>
    <col min="14595" max="14595" width="12.109375" style="3" customWidth="1"/>
    <col min="14596" max="14596" width="13.44140625" style="3" customWidth="1"/>
    <col min="14597" max="14597" width="5.44140625" style="3" customWidth="1"/>
    <col min="14598" max="14848" width="9.109375" style="3"/>
    <col min="14849" max="14849" width="3.44140625" style="3" customWidth="1"/>
    <col min="14850" max="14850" width="96.44140625" style="3" bestFit="1" customWidth="1"/>
    <col min="14851" max="14851" width="12.109375" style="3" customWidth="1"/>
    <col min="14852" max="14852" width="13.44140625" style="3" customWidth="1"/>
    <col min="14853" max="14853" width="5.44140625" style="3" customWidth="1"/>
    <col min="14854" max="15104" width="9.109375" style="3"/>
    <col min="15105" max="15105" width="3.44140625" style="3" customWidth="1"/>
    <col min="15106" max="15106" width="96.44140625" style="3" bestFit="1" customWidth="1"/>
    <col min="15107" max="15107" width="12.109375" style="3" customWidth="1"/>
    <col min="15108" max="15108" width="13.44140625" style="3" customWidth="1"/>
    <col min="15109" max="15109" width="5.44140625" style="3" customWidth="1"/>
    <col min="15110" max="15360" width="9.109375" style="3"/>
    <col min="15361" max="15361" width="3.44140625" style="3" customWidth="1"/>
    <col min="15362" max="15362" width="96.44140625" style="3" bestFit="1" customWidth="1"/>
    <col min="15363" max="15363" width="12.109375" style="3" customWidth="1"/>
    <col min="15364" max="15364" width="13.44140625" style="3" customWidth="1"/>
    <col min="15365" max="15365" width="5.44140625" style="3" customWidth="1"/>
    <col min="15366" max="15616" width="9.109375" style="3"/>
    <col min="15617" max="15617" width="3.44140625" style="3" customWidth="1"/>
    <col min="15618" max="15618" width="96.44140625" style="3" bestFit="1" customWidth="1"/>
    <col min="15619" max="15619" width="12.109375" style="3" customWidth="1"/>
    <col min="15620" max="15620" width="13.44140625" style="3" customWidth="1"/>
    <col min="15621" max="15621" width="5.44140625" style="3" customWidth="1"/>
    <col min="15622" max="15872" width="9.109375" style="3"/>
    <col min="15873" max="15873" width="3.44140625" style="3" customWidth="1"/>
    <col min="15874" max="15874" width="96.44140625" style="3" bestFit="1" customWidth="1"/>
    <col min="15875" max="15875" width="12.109375" style="3" customWidth="1"/>
    <col min="15876" max="15876" width="13.44140625" style="3" customWidth="1"/>
    <col min="15877" max="15877" width="5.44140625" style="3" customWidth="1"/>
    <col min="15878" max="16128" width="9.109375" style="3"/>
    <col min="16129" max="16129" width="3.44140625" style="3" customWidth="1"/>
    <col min="16130" max="16130" width="96.44140625" style="3" bestFit="1" customWidth="1"/>
    <col min="16131" max="16131" width="12.109375" style="3" customWidth="1"/>
    <col min="16132" max="16132" width="13.44140625" style="3" customWidth="1"/>
    <col min="16133" max="16133" width="5.44140625" style="3" customWidth="1"/>
    <col min="16134" max="16384" width="9.109375" style="3"/>
  </cols>
  <sheetData>
    <row r="1" spans="1:10" customFormat="1" ht="57.75" customHeight="1" thickBot="1">
      <c r="A1" s="253"/>
      <c r="B1" s="293"/>
      <c r="C1" s="294"/>
      <c r="D1" s="295"/>
      <c r="E1" s="237"/>
      <c r="F1" s="237"/>
      <c r="G1" s="237"/>
      <c r="H1" s="237"/>
      <c r="I1" s="237"/>
      <c r="J1" s="237"/>
    </row>
    <row r="2" spans="1:10" ht="19.2" thickBot="1">
      <c r="A2" s="448" t="s">
        <v>560</v>
      </c>
      <c r="B2" s="449"/>
      <c r="C2" s="449"/>
      <c r="D2" s="449"/>
    </row>
    <row r="3" spans="1:10" ht="19.8" thickTop="1" thickBot="1">
      <c r="B3" s="126" t="s">
        <v>319</v>
      </c>
    </row>
    <row r="4" spans="1:10" ht="19.2" thickBot="1"/>
    <row r="5" spans="1:10" s="5" customFormat="1" ht="16.5" customHeight="1" thickBot="1">
      <c r="A5" s="445" t="s">
        <v>1013</v>
      </c>
      <c r="B5" s="446" t="s">
        <v>319</v>
      </c>
      <c r="C5" s="447" t="s">
        <v>58</v>
      </c>
      <c r="D5" s="129"/>
      <c r="E5" s="130"/>
    </row>
    <row r="6" spans="1:10">
      <c r="A6" s="85">
        <v>1</v>
      </c>
      <c r="B6" s="85" t="s">
        <v>322</v>
      </c>
      <c r="C6" s="87" t="s">
        <v>62</v>
      </c>
      <c r="D6" s="111">
        <v>360.79999999999995</v>
      </c>
    </row>
    <row r="7" spans="1:10">
      <c r="A7" s="85">
        <f>A6+1</f>
        <v>2</v>
      </c>
      <c r="B7" s="85" t="s">
        <v>1015</v>
      </c>
      <c r="C7" s="87" t="s">
        <v>54</v>
      </c>
      <c r="D7" s="111">
        <v>22000</v>
      </c>
    </row>
    <row r="8" spans="1:10">
      <c r="A8" s="85">
        <f t="shared" ref="A8:A47" si="0">A7+1</f>
        <v>3</v>
      </c>
      <c r="B8" s="85" t="s">
        <v>1016</v>
      </c>
      <c r="C8" s="87" t="s">
        <v>54</v>
      </c>
      <c r="D8" s="111">
        <v>25000</v>
      </c>
    </row>
    <row r="9" spans="1:10">
      <c r="A9" s="85">
        <f t="shared" si="0"/>
        <v>4</v>
      </c>
      <c r="B9" s="85" t="s">
        <v>451</v>
      </c>
      <c r="C9" s="87" t="s">
        <v>54</v>
      </c>
      <c r="D9" s="111">
        <v>9200</v>
      </c>
    </row>
    <row r="10" spans="1:10">
      <c r="A10" s="85">
        <f t="shared" si="0"/>
        <v>5</v>
      </c>
      <c r="B10" s="85" t="s">
        <v>418</v>
      </c>
      <c r="C10" s="87" t="s">
        <v>57</v>
      </c>
      <c r="D10" s="111">
        <v>10115.183246073299</v>
      </c>
    </row>
    <row r="11" spans="1:10">
      <c r="A11" s="85">
        <f t="shared" si="0"/>
        <v>6</v>
      </c>
      <c r="B11" s="85" t="s">
        <v>367</v>
      </c>
      <c r="C11" s="87" t="s">
        <v>54</v>
      </c>
      <c r="D11" s="111">
        <v>6500</v>
      </c>
    </row>
    <row r="12" spans="1:10">
      <c r="A12" s="85">
        <f t="shared" si="0"/>
        <v>7</v>
      </c>
      <c r="B12" s="85" t="s">
        <v>1014</v>
      </c>
      <c r="C12" s="87" t="s">
        <v>54</v>
      </c>
      <c r="D12" s="111">
        <v>20000</v>
      </c>
    </row>
    <row r="13" spans="1:10">
      <c r="A13" s="85">
        <f t="shared" si="0"/>
        <v>8</v>
      </c>
      <c r="B13" s="85" t="s">
        <v>323</v>
      </c>
      <c r="C13" s="87" t="s">
        <v>57</v>
      </c>
      <c r="D13" s="111">
        <v>3300</v>
      </c>
    </row>
    <row r="14" spans="1:10">
      <c r="A14" s="85">
        <f t="shared" si="0"/>
        <v>9</v>
      </c>
      <c r="B14" s="85" t="s">
        <v>372</v>
      </c>
      <c r="C14" s="87" t="s">
        <v>57</v>
      </c>
      <c r="D14" s="111">
        <v>3600</v>
      </c>
    </row>
    <row r="15" spans="1:10">
      <c r="A15" s="85">
        <f t="shared" si="0"/>
        <v>10</v>
      </c>
      <c r="B15" s="85" t="s">
        <v>399</v>
      </c>
      <c r="C15" s="87" t="s">
        <v>57</v>
      </c>
      <c r="D15" s="111">
        <v>5396.1399999999994</v>
      </c>
    </row>
    <row r="16" spans="1:10">
      <c r="A16" s="85">
        <f t="shared" si="0"/>
        <v>11</v>
      </c>
      <c r="B16" s="85" t="s">
        <v>400</v>
      </c>
      <c r="C16" s="87" t="s">
        <v>57</v>
      </c>
      <c r="D16" s="111">
        <v>9966.9879999999994</v>
      </c>
    </row>
    <row r="17" spans="1:4">
      <c r="A17" s="85">
        <f t="shared" si="0"/>
        <v>12</v>
      </c>
      <c r="B17" s="85" t="s">
        <v>401</v>
      </c>
      <c r="C17" s="87" t="s">
        <v>57</v>
      </c>
      <c r="D17" s="111">
        <v>11998.475999999999</v>
      </c>
    </row>
    <row r="18" spans="1:4" ht="32.4">
      <c r="A18" s="85">
        <f t="shared" si="0"/>
        <v>13</v>
      </c>
      <c r="B18" s="105" t="s">
        <v>489</v>
      </c>
      <c r="C18" s="87" t="s">
        <v>63</v>
      </c>
      <c r="D18" s="111">
        <v>19368</v>
      </c>
    </row>
    <row r="19" spans="1:4" ht="32.4">
      <c r="A19" s="85">
        <f t="shared" si="0"/>
        <v>14</v>
      </c>
      <c r="B19" s="105" t="s">
        <v>419</v>
      </c>
      <c r="C19" s="87" t="s">
        <v>57</v>
      </c>
      <c r="D19" s="111">
        <v>5078.7199999999993</v>
      </c>
    </row>
    <row r="20" spans="1:4">
      <c r="A20" s="85">
        <f t="shared" si="0"/>
        <v>15</v>
      </c>
      <c r="B20" s="85" t="s">
        <v>329</v>
      </c>
      <c r="C20" s="87" t="s">
        <v>57</v>
      </c>
      <c r="D20" s="111">
        <v>10500</v>
      </c>
    </row>
    <row r="21" spans="1:4">
      <c r="A21" s="85">
        <f t="shared" si="0"/>
        <v>16</v>
      </c>
      <c r="B21" s="85" t="s">
        <v>330</v>
      </c>
      <c r="C21" s="87" t="s">
        <v>57</v>
      </c>
      <c r="D21" s="111">
        <v>4000</v>
      </c>
    </row>
    <row r="22" spans="1:4">
      <c r="A22" s="85">
        <f t="shared" si="0"/>
        <v>17</v>
      </c>
      <c r="B22" s="85" t="s">
        <v>331</v>
      </c>
      <c r="C22" s="87" t="s">
        <v>57</v>
      </c>
      <c r="D22" s="111">
        <v>5380</v>
      </c>
    </row>
    <row r="23" spans="1:4">
      <c r="A23" s="85">
        <f t="shared" si="0"/>
        <v>18</v>
      </c>
      <c r="B23" s="85" t="s">
        <v>426</v>
      </c>
      <c r="C23" s="87" t="s">
        <v>57</v>
      </c>
      <c r="D23" s="111">
        <v>5380</v>
      </c>
    </row>
    <row r="24" spans="1:4">
      <c r="A24" s="85">
        <f t="shared" si="0"/>
        <v>19</v>
      </c>
      <c r="B24" s="85" t="s">
        <v>284</v>
      </c>
      <c r="C24" s="87" t="s">
        <v>57</v>
      </c>
      <c r="D24" s="111">
        <v>3552</v>
      </c>
    </row>
    <row r="25" spans="1:4">
      <c r="A25" s="85">
        <f t="shared" si="0"/>
        <v>20</v>
      </c>
      <c r="B25" s="85" t="s">
        <v>393</v>
      </c>
      <c r="C25" s="87" t="s">
        <v>57</v>
      </c>
      <c r="D25" s="111">
        <v>4316.9119999999994</v>
      </c>
    </row>
    <row r="26" spans="1:4">
      <c r="A26" s="85">
        <f t="shared" si="0"/>
        <v>21</v>
      </c>
      <c r="B26" s="85" t="s">
        <v>523</v>
      </c>
      <c r="C26" s="87" t="s">
        <v>57</v>
      </c>
      <c r="D26" s="111">
        <v>6933.3333333333321</v>
      </c>
    </row>
    <row r="27" spans="1:4">
      <c r="A27" s="85">
        <f t="shared" si="0"/>
        <v>22</v>
      </c>
      <c r="B27" s="85" t="s">
        <v>452</v>
      </c>
      <c r="C27" s="87" t="s">
        <v>57</v>
      </c>
      <c r="D27" s="111">
        <v>5702.8</v>
      </c>
    </row>
    <row r="28" spans="1:4">
      <c r="A28" s="85">
        <f t="shared" si="0"/>
        <v>23</v>
      </c>
      <c r="B28" s="85" t="s">
        <v>453</v>
      </c>
      <c r="C28" s="87" t="s">
        <v>57</v>
      </c>
      <c r="D28" s="111">
        <v>6400</v>
      </c>
    </row>
    <row r="29" spans="1:4">
      <c r="A29" s="85">
        <f t="shared" si="0"/>
        <v>24</v>
      </c>
      <c r="B29" s="85" t="s">
        <v>283</v>
      </c>
      <c r="C29" s="87" t="s">
        <v>54</v>
      </c>
      <c r="D29" s="111">
        <v>3500</v>
      </c>
    </row>
    <row r="30" spans="1:4">
      <c r="A30" s="85">
        <f t="shared" si="0"/>
        <v>25</v>
      </c>
      <c r="B30" s="85" t="s">
        <v>288</v>
      </c>
      <c r="C30" s="87" t="s">
        <v>54</v>
      </c>
      <c r="D30" s="111">
        <v>7000</v>
      </c>
    </row>
    <row r="31" spans="1:4">
      <c r="A31" s="85">
        <f t="shared" si="0"/>
        <v>26</v>
      </c>
      <c r="B31" s="85" t="s">
        <v>370</v>
      </c>
      <c r="C31" s="87" t="s">
        <v>54</v>
      </c>
      <c r="D31" s="111">
        <v>9000</v>
      </c>
    </row>
    <row r="32" spans="1:4">
      <c r="A32" s="85">
        <f t="shared" si="0"/>
        <v>27</v>
      </c>
      <c r="B32" s="85" t="s">
        <v>388</v>
      </c>
      <c r="C32" s="87" t="s">
        <v>54</v>
      </c>
      <c r="D32" s="111">
        <v>6500</v>
      </c>
    </row>
    <row r="33" spans="1:4">
      <c r="A33" s="85">
        <f t="shared" si="0"/>
        <v>28</v>
      </c>
      <c r="B33" s="85" t="s">
        <v>406</v>
      </c>
      <c r="C33" s="87" t="s">
        <v>57</v>
      </c>
      <c r="D33" s="111">
        <v>4427.0833333333339</v>
      </c>
    </row>
    <row r="34" spans="1:4">
      <c r="A34" s="85">
        <f t="shared" si="0"/>
        <v>29</v>
      </c>
      <c r="B34" s="85" t="s">
        <v>445</v>
      </c>
      <c r="C34" s="87" t="s">
        <v>57</v>
      </c>
      <c r="D34" s="111">
        <v>6000</v>
      </c>
    </row>
    <row r="35" spans="1:4">
      <c r="A35" s="85">
        <f t="shared" si="0"/>
        <v>30</v>
      </c>
      <c r="B35" s="85" t="s">
        <v>513</v>
      </c>
      <c r="C35" s="87" t="s">
        <v>57</v>
      </c>
      <c r="D35" s="111">
        <v>5000</v>
      </c>
    </row>
    <row r="36" spans="1:4">
      <c r="A36" s="85">
        <f t="shared" si="0"/>
        <v>31</v>
      </c>
      <c r="B36" s="85" t="s">
        <v>437</v>
      </c>
      <c r="C36" s="87" t="s">
        <v>57</v>
      </c>
      <c r="D36" s="111">
        <v>9523.8095238095229</v>
      </c>
    </row>
    <row r="37" spans="1:4">
      <c r="A37" s="85">
        <f t="shared" si="0"/>
        <v>32</v>
      </c>
      <c r="B37" s="85" t="s">
        <v>438</v>
      </c>
      <c r="C37" s="87" t="s">
        <v>57</v>
      </c>
      <c r="D37" s="111">
        <v>9523.8095238095229</v>
      </c>
    </row>
    <row r="38" spans="1:4">
      <c r="A38" s="85">
        <f t="shared" si="0"/>
        <v>33</v>
      </c>
      <c r="B38" s="85" t="s">
        <v>434</v>
      </c>
      <c r="C38" s="87" t="s">
        <v>57</v>
      </c>
      <c r="D38" s="111">
        <v>10157.44</v>
      </c>
    </row>
    <row r="39" spans="1:4">
      <c r="A39" s="85">
        <f t="shared" si="0"/>
        <v>34</v>
      </c>
      <c r="B39" s="85" t="s">
        <v>430</v>
      </c>
      <c r="C39" s="87" t="s">
        <v>57</v>
      </c>
      <c r="D39" s="111">
        <v>10157.44</v>
      </c>
    </row>
    <row r="40" spans="1:4">
      <c r="A40" s="85">
        <f t="shared" si="0"/>
        <v>35</v>
      </c>
      <c r="B40" s="85" t="s">
        <v>427</v>
      </c>
      <c r="C40" s="87" t="s">
        <v>57</v>
      </c>
      <c r="D40" s="111">
        <v>9141.6959999999999</v>
      </c>
    </row>
    <row r="41" spans="1:4">
      <c r="A41" s="85">
        <f t="shared" si="0"/>
        <v>36</v>
      </c>
      <c r="B41" s="85" t="s">
        <v>444</v>
      </c>
      <c r="C41" s="87" t="s">
        <v>57</v>
      </c>
      <c r="D41" s="111">
        <v>7618.08</v>
      </c>
    </row>
    <row r="42" spans="1:4">
      <c r="A42" s="85">
        <f t="shared" si="0"/>
        <v>37</v>
      </c>
      <c r="B42" s="85" t="s">
        <v>428</v>
      </c>
      <c r="C42" s="87" t="s">
        <v>57</v>
      </c>
      <c r="D42" s="111">
        <v>11238.095238095239</v>
      </c>
    </row>
    <row r="43" spans="1:4" s="2" customFormat="1">
      <c r="A43" s="85">
        <f t="shared" si="0"/>
        <v>38</v>
      </c>
      <c r="B43" s="85" t="s">
        <v>429</v>
      </c>
      <c r="C43" s="87" t="s">
        <v>57</v>
      </c>
      <c r="D43" s="111">
        <v>10613.756613756614</v>
      </c>
    </row>
    <row r="44" spans="1:4">
      <c r="A44" s="85">
        <f t="shared" si="0"/>
        <v>39</v>
      </c>
      <c r="B44" s="85" t="s">
        <v>468</v>
      </c>
      <c r="C44" s="87" t="s">
        <v>57</v>
      </c>
      <c r="D44" s="111">
        <v>10000</v>
      </c>
    </row>
    <row r="45" spans="1:4">
      <c r="A45" s="85">
        <f t="shared" si="0"/>
        <v>40</v>
      </c>
      <c r="B45" s="85" t="s">
        <v>486</v>
      </c>
      <c r="C45" s="87" t="s">
        <v>68</v>
      </c>
      <c r="D45" s="111">
        <v>804.8575899843504</v>
      </c>
    </row>
    <row r="46" spans="1:4">
      <c r="A46" s="85">
        <f t="shared" si="0"/>
        <v>41</v>
      </c>
      <c r="B46" s="85" t="s">
        <v>486</v>
      </c>
      <c r="C46" s="87" t="s">
        <v>57</v>
      </c>
      <c r="D46" s="111">
        <v>8660.2676682316105</v>
      </c>
    </row>
    <row r="47" spans="1:4">
      <c r="A47" s="110">
        <f t="shared" si="0"/>
        <v>42</v>
      </c>
      <c r="B47" s="112" t="s">
        <v>439</v>
      </c>
      <c r="C47" s="87" t="s">
        <v>62</v>
      </c>
      <c r="D47" s="111">
        <v>7500</v>
      </c>
    </row>
    <row r="48" spans="1:4" ht="19.2" thickBot="1">
      <c r="A48" s="56"/>
      <c r="B48" s="56"/>
      <c r="C48" s="54"/>
      <c r="D48" s="184"/>
    </row>
    <row r="49" spans="1:6" s="5" customFormat="1" ht="16.5" customHeight="1" thickBot="1">
      <c r="A49" s="445" t="s">
        <v>1017</v>
      </c>
      <c r="B49" s="446" t="s">
        <v>319</v>
      </c>
      <c r="C49" s="447" t="s">
        <v>58</v>
      </c>
      <c r="D49" s="129"/>
      <c r="E49" s="130"/>
    </row>
    <row r="50" spans="1:6">
      <c r="A50" s="110">
        <f>A46+1</f>
        <v>42</v>
      </c>
      <c r="B50" s="85" t="s">
        <v>135</v>
      </c>
      <c r="C50" s="87" t="s">
        <v>57</v>
      </c>
      <c r="D50" s="111">
        <v>600</v>
      </c>
    </row>
    <row r="51" spans="1:6">
      <c r="A51" s="110">
        <f>A50+1</f>
        <v>43</v>
      </c>
      <c r="B51" s="85" t="s">
        <v>240</v>
      </c>
      <c r="C51" s="97" t="s">
        <v>63</v>
      </c>
      <c r="D51" s="106">
        <v>850</v>
      </c>
      <c r="E51" s="10"/>
      <c r="F51" s="6"/>
    </row>
    <row r="52" spans="1:6">
      <c r="A52" s="110">
        <f t="shared" ref="A52:A56" si="1">A51+1</f>
        <v>44</v>
      </c>
      <c r="B52" s="85" t="s">
        <v>389</v>
      </c>
      <c r="C52" s="97" t="s">
        <v>60</v>
      </c>
      <c r="D52" s="106">
        <v>550</v>
      </c>
      <c r="E52" s="10"/>
      <c r="F52" s="6"/>
    </row>
    <row r="53" spans="1:6">
      <c r="A53" s="110">
        <f t="shared" si="1"/>
        <v>45</v>
      </c>
      <c r="B53" s="85" t="s">
        <v>503</v>
      </c>
      <c r="C53" s="97" t="s">
        <v>60</v>
      </c>
      <c r="D53" s="106">
        <v>400</v>
      </c>
      <c r="E53" s="10"/>
      <c r="F53" s="6"/>
    </row>
    <row r="54" spans="1:6">
      <c r="A54" s="110">
        <f t="shared" si="1"/>
        <v>46</v>
      </c>
      <c r="B54" s="85" t="s">
        <v>504</v>
      </c>
      <c r="C54" s="97" t="s">
        <v>60</v>
      </c>
      <c r="D54" s="106">
        <v>500</v>
      </c>
      <c r="E54" s="10"/>
      <c r="F54" s="6"/>
    </row>
    <row r="55" spans="1:6">
      <c r="A55" s="110">
        <f t="shared" si="1"/>
        <v>47</v>
      </c>
      <c r="B55" s="85" t="s">
        <v>505</v>
      </c>
      <c r="C55" s="97" t="s">
        <v>60</v>
      </c>
      <c r="D55" s="106">
        <v>600</v>
      </c>
      <c r="E55" s="10"/>
      <c r="F55" s="6"/>
    </row>
    <row r="56" spans="1:6">
      <c r="A56" s="110">
        <f t="shared" si="1"/>
        <v>48</v>
      </c>
      <c r="B56" s="85" t="s">
        <v>506</v>
      </c>
      <c r="C56" s="97" t="s">
        <v>63</v>
      </c>
      <c r="D56" s="106">
        <v>900</v>
      </c>
      <c r="E56" s="10"/>
      <c r="F56" s="6"/>
    </row>
    <row r="57" spans="1:6" ht="19.2" thickBot="1"/>
    <row r="58" spans="1:6" s="5" customFormat="1" ht="16.5" customHeight="1" thickBot="1">
      <c r="A58" s="445" t="s">
        <v>12</v>
      </c>
      <c r="B58" s="446" t="s">
        <v>319</v>
      </c>
      <c r="C58" s="447" t="s">
        <v>58</v>
      </c>
      <c r="D58" s="129"/>
      <c r="E58" s="130"/>
    </row>
    <row r="59" spans="1:6">
      <c r="A59" s="110">
        <f>A56+1</f>
        <v>49</v>
      </c>
      <c r="B59" s="185" t="s">
        <v>321</v>
      </c>
      <c r="C59" s="139" t="s">
        <v>57</v>
      </c>
      <c r="D59" s="113">
        <v>125</v>
      </c>
    </row>
    <row r="60" spans="1:6">
      <c r="A60" s="110">
        <f t="shared" ref="A60:A89" si="2">A59+1</f>
        <v>50</v>
      </c>
      <c r="B60" s="112" t="s">
        <v>431</v>
      </c>
      <c r="C60" s="87" t="s">
        <v>57</v>
      </c>
      <c r="D60" s="111">
        <v>7532</v>
      </c>
    </row>
    <row r="61" spans="1:6">
      <c r="A61" s="110">
        <f t="shared" si="2"/>
        <v>51</v>
      </c>
      <c r="B61" s="112" t="s">
        <v>324</v>
      </c>
      <c r="C61" s="87" t="s">
        <v>62</v>
      </c>
      <c r="D61" s="111">
        <v>3228</v>
      </c>
    </row>
    <row r="62" spans="1:6">
      <c r="A62" s="110">
        <f t="shared" si="2"/>
        <v>52</v>
      </c>
      <c r="B62" s="112" t="s">
        <v>325</v>
      </c>
      <c r="C62" s="87" t="s">
        <v>62</v>
      </c>
      <c r="D62" s="111">
        <v>4100</v>
      </c>
    </row>
    <row r="63" spans="1:6">
      <c r="A63" s="110">
        <f t="shared" si="2"/>
        <v>53</v>
      </c>
      <c r="B63" s="112" t="s">
        <v>326</v>
      </c>
      <c r="C63" s="87" t="s">
        <v>62</v>
      </c>
      <c r="D63" s="111">
        <v>2500</v>
      </c>
    </row>
    <row r="64" spans="1:6">
      <c r="A64" s="110">
        <f t="shared" si="2"/>
        <v>54</v>
      </c>
      <c r="B64" s="112" t="s">
        <v>327</v>
      </c>
      <c r="C64" s="87" t="s">
        <v>62</v>
      </c>
      <c r="D64" s="111">
        <v>10000</v>
      </c>
    </row>
    <row r="65" spans="1:4">
      <c r="A65" s="110">
        <f t="shared" si="2"/>
        <v>55</v>
      </c>
      <c r="B65" s="112" t="s">
        <v>467</v>
      </c>
      <c r="C65" s="87" t="s">
        <v>57</v>
      </c>
      <c r="D65" s="111">
        <v>7041.65</v>
      </c>
    </row>
    <row r="66" spans="1:4">
      <c r="A66" s="110">
        <f t="shared" si="2"/>
        <v>56</v>
      </c>
      <c r="B66" s="112" t="s">
        <v>328</v>
      </c>
      <c r="C66" s="87" t="s">
        <v>57</v>
      </c>
      <c r="D66" s="111">
        <v>225</v>
      </c>
    </row>
    <row r="67" spans="1:4" ht="32.4">
      <c r="A67" s="110">
        <f t="shared" si="2"/>
        <v>57</v>
      </c>
      <c r="B67" s="186" t="s">
        <v>332</v>
      </c>
      <c r="C67" s="87" t="s">
        <v>57</v>
      </c>
      <c r="D67" s="111">
        <v>2977.38</v>
      </c>
    </row>
    <row r="68" spans="1:4" ht="32.4">
      <c r="A68" s="110">
        <f t="shared" si="2"/>
        <v>58</v>
      </c>
      <c r="B68" s="186" t="s">
        <v>333</v>
      </c>
      <c r="C68" s="87" t="s">
        <v>62</v>
      </c>
      <c r="D68" s="111">
        <v>803.04000000000008</v>
      </c>
    </row>
    <row r="69" spans="1:4" ht="32.4">
      <c r="A69" s="110">
        <f t="shared" si="2"/>
        <v>59</v>
      </c>
      <c r="B69" s="186" t="s">
        <v>334</v>
      </c>
      <c r="C69" s="87" t="s">
        <v>57</v>
      </c>
      <c r="D69" s="111">
        <v>3058.4399999999996</v>
      </c>
    </row>
    <row r="70" spans="1:4">
      <c r="A70" s="110">
        <f t="shared" si="2"/>
        <v>60</v>
      </c>
      <c r="B70" s="112" t="s">
        <v>515</v>
      </c>
      <c r="C70" s="87" t="s">
        <v>62</v>
      </c>
      <c r="D70" s="111">
        <v>885</v>
      </c>
    </row>
    <row r="71" spans="1:4">
      <c r="A71" s="110">
        <f t="shared" si="2"/>
        <v>61</v>
      </c>
      <c r="B71" s="112" t="s">
        <v>335</v>
      </c>
      <c r="C71" s="87" t="s">
        <v>57</v>
      </c>
      <c r="D71" s="111">
        <v>6348.4</v>
      </c>
    </row>
    <row r="72" spans="1:4">
      <c r="A72" s="110">
        <f t="shared" si="2"/>
        <v>62</v>
      </c>
      <c r="B72" s="112" t="s">
        <v>336</v>
      </c>
      <c r="C72" s="87" t="s">
        <v>62</v>
      </c>
      <c r="D72" s="111">
        <v>8200</v>
      </c>
    </row>
    <row r="73" spans="1:4">
      <c r="A73" s="110">
        <f t="shared" si="2"/>
        <v>63</v>
      </c>
      <c r="B73" s="112" t="s">
        <v>337</v>
      </c>
      <c r="C73" s="87" t="s">
        <v>62</v>
      </c>
      <c r="D73" s="111">
        <v>8200</v>
      </c>
    </row>
    <row r="74" spans="1:4">
      <c r="A74" s="110">
        <f t="shared" si="2"/>
        <v>64</v>
      </c>
      <c r="B74" s="112" t="s">
        <v>273</v>
      </c>
      <c r="C74" s="87" t="s">
        <v>57</v>
      </c>
      <c r="D74" s="111">
        <v>80</v>
      </c>
    </row>
    <row r="75" spans="1:4">
      <c r="A75" s="110">
        <f t="shared" si="2"/>
        <v>65</v>
      </c>
      <c r="B75" s="112" t="s">
        <v>138</v>
      </c>
      <c r="C75" s="87" t="s">
        <v>57</v>
      </c>
      <c r="D75" s="111">
        <v>200</v>
      </c>
    </row>
    <row r="76" spans="1:4">
      <c r="A76" s="110">
        <f t="shared" si="2"/>
        <v>66</v>
      </c>
      <c r="B76" s="112" t="s">
        <v>338</v>
      </c>
      <c r="C76" s="87" t="s">
        <v>62</v>
      </c>
      <c r="D76" s="111">
        <v>0</v>
      </c>
    </row>
    <row r="77" spans="1:4">
      <c r="A77" s="110">
        <f t="shared" si="2"/>
        <v>67</v>
      </c>
      <c r="B77" s="112" t="s">
        <v>285</v>
      </c>
      <c r="C77" s="87" t="s">
        <v>54</v>
      </c>
      <c r="D77" s="111">
        <v>20405.559999999998</v>
      </c>
    </row>
    <row r="78" spans="1:4">
      <c r="A78" s="110">
        <f t="shared" si="2"/>
        <v>68</v>
      </c>
      <c r="B78" s="112" t="s">
        <v>385</v>
      </c>
      <c r="C78" s="87" t="s">
        <v>54</v>
      </c>
      <c r="D78" s="111">
        <v>1350</v>
      </c>
    </row>
    <row r="79" spans="1:4">
      <c r="A79" s="110">
        <f t="shared" si="2"/>
        <v>69</v>
      </c>
      <c r="B79" s="112" t="s">
        <v>420</v>
      </c>
      <c r="C79" s="87" t="s">
        <v>481</v>
      </c>
      <c r="D79" s="111">
        <v>4130</v>
      </c>
    </row>
    <row r="80" spans="1:4">
      <c r="A80" s="110">
        <f t="shared" si="2"/>
        <v>70</v>
      </c>
      <c r="B80" s="112" t="s">
        <v>392</v>
      </c>
      <c r="C80" s="87" t="s">
        <v>62</v>
      </c>
      <c r="D80" s="111">
        <v>5900</v>
      </c>
    </row>
    <row r="81" spans="1:5">
      <c r="A81" s="110">
        <f t="shared" si="2"/>
        <v>71</v>
      </c>
      <c r="B81" s="112" t="s">
        <v>440</v>
      </c>
      <c r="C81" s="87" t="s">
        <v>62</v>
      </c>
      <c r="D81" s="111">
        <v>40.06</v>
      </c>
    </row>
    <row r="82" spans="1:5">
      <c r="A82" s="110">
        <f t="shared" si="2"/>
        <v>72</v>
      </c>
      <c r="B82" s="112" t="s">
        <v>450</v>
      </c>
      <c r="C82" s="87" t="s">
        <v>57</v>
      </c>
      <c r="D82" s="111">
        <v>2261.827956989247</v>
      </c>
    </row>
    <row r="83" spans="1:5">
      <c r="A83" s="110">
        <f t="shared" si="2"/>
        <v>73</v>
      </c>
      <c r="B83" s="112" t="s">
        <v>1019</v>
      </c>
      <c r="C83" s="87" t="s">
        <v>57</v>
      </c>
      <c r="D83" s="111">
        <v>4635.9039999999995</v>
      </c>
    </row>
    <row r="84" spans="1:5">
      <c r="A84" s="110">
        <f t="shared" si="2"/>
        <v>74</v>
      </c>
      <c r="B84" s="112" t="s">
        <v>433</v>
      </c>
      <c r="C84" s="87" t="s">
        <v>57</v>
      </c>
      <c r="D84" s="111">
        <v>3000</v>
      </c>
    </row>
    <row r="85" spans="1:5">
      <c r="A85" s="110">
        <f t="shared" si="2"/>
        <v>75</v>
      </c>
      <c r="B85" s="112" t="s">
        <v>507</v>
      </c>
      <c r="C85" s="87" t="s">
        <v>57</v>
      </c>
      <c r="D85" s="111">
        <v>800</v>
      </c>
    </row>
    <row r="86" spans="1:5">
      <c r="A86" s="110">
        <f t="shared" si="2"/>
        <v>76</v>
      </c>
      <c r="B86" s="112" t="s">
        <v>514</v>
      </c>
      <c r="C86" s="87" t="s">
        <v>54</v>
      </c>
      <c r="D86" s="111">
        <v>85000</v>
      </c>
    </row>
    <row r="87" spans="1:5">
      <c r="A87" s="110">
        <f t="shared" si="2"/>
        <v>77</v>
      </c>
      <c r="B87" s="112" t="s">
        <v>483</v>
      </c>
      <c r="C87" s="87" t="s">
        <v>60</v>
      </c>
      <c r="D87" s="111">
        <v>659.77199999999993</v>
      </c>
    </row>
    <row r="88" spans="1:5">
      <c r="A88" s="110">
        <f t="shared" si="2"/>
        <v>78</v>
      </c>
      <c r="B88" s="112" t="s">
        <v>532</v>
      </c>
      <c r="C88" s="87" t="s">
        <v>57</v>
      </c>
      <c r="D88" s="111">
        <v>281.02</v>
      </c>
    </row>
    <row r="89" spans="1:5">
      <c r="A89" s="110">
        <f t="shared" si="2"/>
        <v>79</v>
      </c>
      <c r="B89" s="112" t="s">
        <v>239</v>
      </c>
      <c r="C89" s="87" t="s">
        <v>63</v>
      </c>
      <c r="D89" s="111">
        <v>1069.2857142857142</v>
      </c>
    </row>
    <row r="90" spans="1:5" ht="19.2" thickBot="1">
      <c r="A90" s="138"/>
      <c r="B90" s="76"/>
      <c r="C90" s="54"/>
      <c r="D90" s="184"/>
    </row>
    <row r="91" spans="1:5" s="5" customFormat="1" ht="16.5" customHeight="1" thickBot="1">
      <c r="A91" s="445" t="s">
        <v>1018</v>
      </c>
      <c r="B91" s="446" t="s">
        <v>319</v>
      </c>
      <c r="C91" s="447" t="s">
        <v>58</v>
      </c>
      <c r="D91" s="129"/>
      <c r="E91" s="130"/>
    </row>
    <row r="92" spans="1:5">
      <c r="A92" s="110">
        <f>A89+1</f>
        <v>80</v>
      </c>
      <c r="B92" s="85" t="s">
        <v>469</v>
      </c>
      <c r="C92" s="87" t="s">
        <v>57</v>
      </c>
      <c r="D92" s="111">
        <v>413</v>
      </c>
    </row>
    <row r="93" spans="1:5" ht="32.4">
      <c r="A93" s="110">
        <f>A92+1</f>
        <v>81</v>
      </c>
      <c r="B93" s="105" t="s">
        <v>281</v>
      </c>
      <c r="C93" s="87" t="s">
        <v>57</v>
      </c>
      <c r="D93" s="111">
        <v>465.79999999999995</v>
      </c>
    </row>
    <row r="94" spans="1:5">
      <c r="A94" s="110">
        <f t="shared" ref="A94:A96" si="3">A93+1</f>
        <v>82</v>
      </c>
      <c r="B94" s="85" t="s">
        <v>402</v>
      </c>
      <c r="C94" s="87" t="s">
        <v>57</v>
      </c>
      <c r="D94" s="111">
        <v>413</v>
      </c>
    </row>
    <row r="95" spans="1:5">
      <c r="A95" s="110">
        <f t="shared" si="3"/>
        <v>83</v>
      </c>
      <c r="B95" s="85" t="s">
        <v>403</v>
      </c>
      <c r="C95" s="87" t="s">
        <v>57</v>
      </c>
      <c r="D95" s="111">
        <v>348.09999999999997</v>
      </c>
    </row>
    <row r="96" spans="1:5">
      <c r="A96" s="110">
        <f t="shared" si="3"/>
        <v>84</v>
      </c>
      <c r="B96" s="85" t="s">
        <v>436</v>
      </c>
      <c r="C96" s="87" t="s">
        <v>57</v>
      </c>
      <c r="D96" s="111">
        <v>1770</v>
      </c>
    </row>
  </sheetData>
  <mergeCells count="5">
    <mergeCell ref="A91:C91"/>
    <mergeCell ref="A2:D2"/>
    <mergeCell ref="A5:C5"/>
    <mergeCell ref="A49:C49"/>
    <mergeCell ref="A58:C5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J181"/>
  <sheetViews>
    <sheetView view="pageBreakPreview" zoomScaleNormal="100" workbookViewId="0">
      <selection activeCell="G9" sqref="G9"/>
    </sheetView>
  </sheetViews>
  <sheetFormatPr defaultColWidth="9.109375" defaultRowHeight="16.2"/>
  <cols>
    <col min="1" max="1" width="5.88671875" style="88" customWidth="1"/>
    <col min="2" max="2" width="70.109375" style="88" customWidth="1"/>
    <col min="3" max="3" width="11.109375" style="88" customWidth="1"/>
    <col min="4" max="4" width="17.109375" style="89" customWidth="1"/>
    <col min="5" max="5" width="10.33203125" style="5" bestFit="1" customWidth="1"/>
    <col min="6" max="8" width="9.109375" style="5"/>
    <col min="9" max="9" width="10.33203125" style="5" bestFit="1" customWidth="1"/>
    <col min="10" max="254" width="9.109375" style="5"/>
    <col min="255" max="255" width="5.88671875" style="5" customWidth="1"/>
    <col min="256" max="256" width="70.109375" style="5" customWidth="1"/>
    <col min="257" max="257" width="5.44140625" style="5" customWidth="1"/>
    <col min="258" max="258" width="11.109375" style="5" customWidth="1"/>
    <col min="259" max="259" width="15.6640625" style="5" customWidth="1"/>
    <col min="260" max="260" width="13.109375" style="5" customWidth="1"/>
    <col min="261" max="261" width="10.33203125" style="5" bestFit="1" customWidth="1"/>
    <col min="262" max="510" width="9.109375" style="5"/>
    <col min="511" max="511" width="5.88671875" style="5" customWidth="1"/>
    <col min="512" max="512" width="70.109375" style="5" customWidth="1"/>
    <col min="513" max="513" width="5.44140625" style="5" customWidth="1"/>
    <col min="514" max="514" width="11.109375" style="5" customWidth="1"/>
    <col min="515" max="515" width="15.6640625" style="5" customWidth="1"/>
    <col min="516" max="516" width="13.109375" style="5" customWidth="1"/>
    <col min="517" max="517" width="10.33203125" style="5" bestFit="1" customWidth="1"/>
    <col min="518" max="766" width="9.109375" style="5"/>
    <col min="767" max="767" width="5.88671875" style="5" customWidth="1"/>
    <col min="768" max="768" width="70.109375" style="5" customWidth="1"/>
    <col min="769" max="769" width="5.44140625" style="5" customWidth="1"/>
    <col min="770" max="770" width="11.109375" style="5" customWidth="1"/>
    <col min="771" max="771" width="15.6640625" style="5" customWidth="1"/>
    <col min="772" max="772" width="13.109375" style="5" customWidth="1"/>
    <col min="773" max="773" width="10.33203125" style="5" bestFit="1" customWidth="1"/>
    <col min="774" max="1022" width="9.109375" style="5"/>
    <col min="1023" max="1023" width="5.88671875" style="5" customWidth="1"/>
    <col min="1024" max="1024" width="70.109375" style="5" customWidth="1"/>
    <col min="1025" max="1025" width="5.44140625" style="5" customWidth="1"/>
    <col min="1026" max="1026" width="11.109375" style="5" customWidth="1"/>
    <col min="1027" max="1027" width="15.6640625" style="5" customWidth="1"/>
    <col min="1028" max="1028" width="13.109375" style="5" customWidth="1"/>
    <col min="1029" max="1029" width="10.33203125" style="5" bestFit="1" customWidth="1"/>
    <col min="1030" max="1278" width="9.109375" style="5"/>
    <col min="1279" max="1279" width="5.88671875" style="5" customWidth="1"/>
    <col min="1280" max="1280" width="70.109375" style="5" customWidth="1"/>
    <col min="1281" max="1281" width="5.44140625" style="5" customWidth="1"/>
    <col min="1282" max="1282" width="11.109375" style="5" customWidth="1"/>
    <col min="1283" max="1283" width="15.6640625" style="5" customWidth="1"/>
    <col min="1284" max="1284" width="13.109375" style="5" customWidth="1"/>
    <col min="1285" max="1285" width="10.33203125" style="5" bestFit="1" customWidth="1"/>
    <col min="1286" max="1534" width="9.109375" style="5"/>
    <col min="1535" max="1535" width="5.88671875" style="5" customWidth="1"/>
    <col min="1536" max="1536" width="70.109375" style="5" customWidth="1"/>
    <col min="1537" max="1537" width="5.44140625" style="5" customWidth="1"/>
    <col min="1538" max="1538" width="11.109375" style="5" customWidth="1"/>
    <col min="1539" max="1539" width="15.6640625" style="5" customWidth="1"/>
    <col min="1540" max="1540" width="13.109375" style="5" customWidth="1"/>
    <col min="1541" max="1541" width="10.33203125" style="5" bestFit="1" customWidth="1"/>
    <col min="1542" max="1790" width="9.109375" style="5"/>
    <col min="1791" max="1791" width="5.88671875" style="5" customWidth="1"/>
    <col min="1792" max="1792" width="70.109375" style="5" customWidth="1"/>
    <col min="1793" max="1793" width="5.44140625" style="5" customWidth="1"/>
    <col min="1794" max="1794" width="11.109375" style="5" customWidth="1"/>
    <col min="1795" max="1795" width="15.6640625" style="5" customWidth="1"/>
    <col min="1796" max="1796" width="13.109375" style="5" customWidth="1"/>
    <col min="1797" max="1797" width="10.33203125" style="5" bestFit="1" customWidth="1"/>
    <col min="1798" max="2046" width="9.109375" style="5"/>
    <col min="2047" max="2047" width="5.88671875" style="5" customWidth="1"/>
    <col min="2048" max="2048" width="70.109375" style="5" customWidth="1"/>
    <col min="2049" max="2049" width="5.44140625" style="5" customWidth="1"/>
    <col min="2050" max="2050" width="11.109375" style="5" customWidth="1"/>
    <col min="2051" max="2051" width="15.6640625" style="5" customWidth="1"/>
    <col min="2052" max="2052" width="13.109375" style="5" customWidth="1"/>
    <col min="2053" max="2053" width="10.33203125" style="5" bestFit="1" customWidth="1"/>
    <col min="2054" max="2302" width="9.109375" style="5"/>
    <col min="2303" max="2303" width="5.88671875" style="5" customWidth="1"/>
    <col min="2304" max="2304" width="70.109375" style="5" customWidth="1"/>
    <col min="2305" max="2305" width="5.44140625" style="5" customWidth="1"/>
    <col min="2306" max="2306" width="11.109375" style="5" customWidth="1"/>
    <col min="2307" max="2307" width="15.6640625" style="5" customWidth="1"/>
    <col min="2308" max="2308" width="13.109375" style="5" customWidth="1"/>
    <col min="2309" max="2309" width="10.33203125" style="5" bestFit="1" customWidth="1"/>
    <col min="2310" max="2558" width="9.109375" style="5"/>
    <col min="2559" max="2559" width="5.88671875" style="5" customWidth="1"/>
    <col min="2560" max="2560" width="70.109375" style="5" customWidth="1"/>
    <col min="2561" max="2561" width="5.44140625" style="5" customWidth="1"/>
    <col min="2562" max="2562" width="11.109375" style="5" customWidth="1"/>
    <col min="2563" max="2563" width="15.6640625" style="5" customWidth="1"/>
    <col min="2564" max="2564" width="13.109375" style="5" customWidth="1"/>
    <col min="2565" max="2565" width="10.33203125" style="5" bestFit="1" customWidth="1"/>
    <col min="2566" max="2814" width="9.109375" style="5"/>
    <col min="2815" max="2815" width="5.88671875" style="5" customWidth="1"/>
    <col min="2816" max="2816" width="70.109375" style="5" customWidth="1"/>
    <col min="2817" max="2817" width="5.44140625" style="5" customWidth="1"/>
    <col min="2818" max="2818" width="11.109375" style="5" customWidth="1"/>
    <col min="2819" max="2819" width="15.6640625" style="5" customWidth="1"/>
    <col min="2820" max="2820" width="13.109375" style="5" customWidth="1"/>
    <col min="2821" max="2821" width="10.33203125" style="5" bestFit="1" customWidth="1"/>
    <col min="2822" max="3070" width="9.109375" style="5"/>
    <col min="3071" max="3071" width="5.88671875" style="5" customWidth="1"/>
    <col min="3072" max="3072" width="70.109375" style="5" customWidth="1"/>
    <col min="3073" max="3073" width="5.44140625" style="5" customWidth="1"/>
    <col min="3074" max="3074" width="11.109375" style="5" customWidth="1"/>
    <col min="3075" max="3075" width="15.6640625" style="5" customWidth="1"/>
    <col min="3076" max="3076" width="13.109375" style="5" customWidth="1"/>
    <col min="3077" max="3077" width="10.33203125" style="5" bestFit="1" customWidth="1"/>
    <col min="3078" max="3326" width="9.109375" style="5"/>
    <col min="3327" max="3327" width="5.88671875" style="5" customWidth="1"/>
    <col min="3328" max="3328" width="70.109375" style="5" customWidth="1"/>
    <col min="3329" max="3329" width="5.44140625" style="5" customWidth="1"/>
    <col min="3330" max="3330" width="11.109375" style="5" customWidth="1"/>
    <col min="3331" max="3331" width="15.6640625" style="5" customWidth="1"/>
    <col min="3332" max="3332" width="13.109375" style="5" customWidth="1"/>
    <col min="3333" max="3333" width="10.33203125" style="5" bestFit="1" customWidth="1"/>
    <col min="3334" max="3582" width="9.109375" style="5"/>
    <col min="3583" max="3583" width="5.88671875" style="5" customWidth="1"/>
    <col min="3584" max="3584" width="70.109375" style="5" customWidth="1"/>
    <col min="3585" max="3585" width="5.44140625" style="5" customWidth="1"/>
    <col min="3586" max="3586" width="11.109375" style="5" customWidth="1"/>
    <col min="3587" max="3587" width="15.6640625" style="5" customWidth="1"/>
    <col min="3588" max="3588" width="13.109375" style="5" customWidth="1"/>
    <col min="3589" max="3589" width="10.33203125" style="5" bestFit="1" customWidth="1"/>
    <col min="3590" max="3838" width="9.109375" style="5"/>
    <col min="3839" max="3839" width="5.88671875" style="5" customWidth="1"/>
    <col min="3840" max="3840" width="70.109375" style="5" customWidth="1"/>
    <col min="3841" max="3841" width="5.44140625" style="5" customWidth="1"/>
    <col min="3842" max="3842" width="11.109375" style="5" customWidth="1"/>
    <col min="3843" max="3843" width="15.6640625" style="5" customWidth="1"/>
    <col min="3844" max="3844" width="13.109375" style="5" customWidth="1"/>
    <col min="3845" max="3845" width="10.33203125" style="5" bestFit="1" customWidth="1"/>
    <col min="3846" max="4094" width="9.109375" style="5"/>
    <col min="4095" max="4095" width="5.88671875" style="5" customWidth="1"/>
    <col min="4096" max="4096" width="70.109375" style="5" customWidth="1"/>
    <col min="4097" max="4097" width="5.44140625" style="5" customWidth="1"/>
    <col min="4098" max="4098" width="11.109375" style="5" customWidth="1"/>
    <col min="4099" max="4099" width="15.6640625" style="5" customWidth="1"/>
    <col min="4100" max="4100" width="13.109375" style="5" customWidth="1"/>
    <col min="4101" max="4101" width="10.33203125" style="5" bestFit="1" customWidth="1"/>
    <col min="4102" max="4350" width="9.109375" style="5"/>
    <col min="4351" max="4351" width="5.88671875" style="5" customWidth="1"/>
    <col min="4352" max="4352" width="70.109375" style="5" customWidth="1"/>
    <col min="4353" max="4353" width="5.44140625" style="5" customWidth="1"/>
    <col min="4354" max="4354" width="11.109375" style="5" customWidth="1"/>
    <col min="4355" max="4355" width="15.6640625" style="5" customWidth="1"/>
    <col min="4356" max="4356" width="13.109375" style="5" customWidth="1"/>
    <col min="4357" max="4357" width="10.33203125" style="5" bestFit="1" customWidth="1"/>
    <col min="4358" max="4606" width="9.109375" style="5"/>
    <col min="4607" max="4607" width="5.88671875" style="5" customWidth="1"/>
    <col min="4608" max="4608" width="70.109375" style="5" customWidth="1"/>
    <col min="4609" max="4609" width="5.44140625" style="5" customWidth="1"/>
    <col min="4610" max="4610" width="11.109375" style="5" customWidth="1"/>
    <col min="4611" max="4611" width="15.6640625" style="5" customWidth="1"/>
    <col min="4612" max="4612" width="13.109375" style="5" customWidth="1"/>
    <col min="4613" max="4613" width="10.33203125" style="5" bestFit="1" customWidth="1"/>
    <col min="4614" max="4862" width="9.109375" style="5"/>
    <col min="4863" max="4863" width="5.88671875" style="5" customWidth="1"/>
    <col min="4864" max="4864" width="70.109375" style="5" customWidth="1"/>
    <col min="4865" max="4865" width="5.44140625" style="5" customWidth="1"/>
    <col min="4866" max="4866" width="11.109375" style="5" customWidth="1"/>
    <col min="4867" max="4867" width="15.6640625" style="5" customWidth="1"/>
    <col min="4868" max="4868" width="13.109375" style="5" customWidth="1"/>
    <col min="4869" max="4869" width="10.33203125" style="5" bestFit="1" customWidth="1"/>
    <col min="4870" max="5118" width="9.109375" style="5"/>
    <col min="5119" max="5119" width="5.88671875" style="5" customWidth="1"/>
    <col min="5120" max="5120" width="70.109375" style="5" customWidth="1"/>
    <col min="5121" max="5121" width="5.44140625" style="5" customWidth="1"/>
    <col min="5122" max="5122" width="11.109375" style="5" customWidth="1"/>
    <col min="5123" max="5123" width="15.6640625" style="5" customWidth="1"/>
    <col min="5124" max="5124" width="13.109375" style="5" customWidth="1"/>
    <col min="5125" max="5125" width="10.33203125" style="5" bestFit="1" customWidth="1"/>
    <col min="5126" max="5374" width="9.109375" style="5"/>
    <col min="5375" max="5375" width="5.88671875" style="5" customWidth="1"/>
    <col min="5376" max="5376" width="70.109375" style="5" customWidth="1"/>
    <col min="5377" max="5377" width="5.44140625" style="5" customWidth="1"/>
    <col min="5378" max="5378" width="11.109375" style="5" customWidth="1"/>
    <col min="5379" max="5379" width="15.6640625" style="5" customWidth="1"/>
    <col min="5380" max="5380" width="13.109375" style="5" customWidth="1"/>
    <col min="5381" max="5381" width="10.33203125" style="5" bestFit="1" customWidth="1"/>
    <col min="5382" max="5630" width="9.109375" style="5"/>
    <col min="5631" max="5631" width="5.88671875" style="5" customWidth="1"/>
    <col min="5632" max="5632" width="70.109375" style="5" customWidth="1"/>
    <col min="5633" max="5633" width="5.44140625" style="5" customWidth="1"/>
    <col min="5634" max="5634" width="11.109375" style="5" customWidth="1"/>
    <col min="5635" max="5635" width="15.6640625" style="5" customWidth="1"/>
    <col min="5636" max="5636" width="13.109375" style="5" customWidth="1"/>
    <col min="5637" max="5637" width="10.33203125" style="5" bestFit="1" customWidth="1"/>
    <col min="5638" max="5886" width="9.109375" style="5"/>
    <col min="5887" max="5887" width="5.88671875" style="5" customWidth="1"/>
    <col min="5888" max="5888" width="70.109375" style="5" customWidth="1"/>
    <col min="5889" max="5889" width="5.44140625" style="5" customWidth="1"/>
    <col min="5890" max="5890" width="11.109375" style="5" customWidth="1"/>
    <col min="5891" max="5891" width="15.6640625" style="5" customWidth="1"/>
    <col min="5892" max="5892" width="13.109375" style="5" customWidth="1"/>
    <col min="5893" max="5893" width="10.33203125" style="5" bestFit="1" customWidth="1"/>
    <col min="5894" max="6142" width="9.109375" style="5"/>
    <col min="6143" max="6143" width="5.88671875" style="5" customWidth="1"/>
    <col min="6144" max="6144" width="70.109375" style="5" customWidth="1"/>
    <col min="6145" max="6145" width="5.44140625" style="5" customWidth="1"/>
    <col min="6146" max="6146" width="11.109375" style="5" customWidth="1"/>
    <col min="6147" max="6147" width="15.6640625" style="5" customWidth="1"/>
    <col min="6148" max="6148" width="13.109375" style="5" customWidth="1"/>
    <col min="6149" max="6149" width="10.33203125" style="5" bestFit="1" customWidth="1"/>
    <col min="6150" max="6398" width="9.109375" style="5"/>
    <col min="6399" max="6399" width="5.88671875" style="5" customWidth="1"/>
    <col min="6400" max="6400" width="70.109375" style="5" customWidth="1"/>
    <col min="6401" max="6401" width="5.44140625" style="5" customWidth="1"/>
    <col min="6402" max="6402" width="11.109375" style="5" customWidth="1"/>
    <col min="6403" max="6403" width="15.6640625" style="5" customWidth="1"/>
    <col min="6404" max="6404" width="13.109375" style="5" customWidth="1"/>
    <col min="6405" max="6405" width="10.33203125" style="5" bestFit="1" customWidth="1"/>
    <col min="6406" max="6654" width="9.109375" style="5"/>
    <col min="6655" max="6655" width="5.88671875" style="5" customWidth="1"/>
    <col min="6656" max="6656" width="70.109375" style="5" customWidth="1"/>
    <col min="6657" max="6657" width="5.44140625" style="5" customWidth="1"/>
    <col min="6658" max="6658" width="11.109375" style="5" customWidth="1"/>
    <col min="6659" max="6659" width="15.6640625" style="5" customWidth="1"/>
    <col min="6660" max="6660" width="13.109375" style="5" customWidth="1"/>
    <col min="6661" max="6661" width="10.33203125" style="5" bestFit="1" customWidth="1"/>
    <col min="6662" max="6910" width="9.109375" style="5"/>
    <col min="6911" max="6911" width="5.88671875" style="5" customWidth="1"/>
    <col min="6912" max="6912" width="70.109375" style="5" customWidth="1"/>
    <col min="6913" max="6913" width="5.44140625" style="5" customWidth="1"/>
    <col min="6914" max="6914" width="11.109375" style="5" customWidth="1"/>
    <col min="6915" max="6915" width="15.6640625" style="5" customWidth="1"/>
    <col min="6916" max="6916" width="13.109375" style="5" customWidth="1"/>
    <col min="6917" max="6917" width="10.33203125" style="5" bestFit="1" customWidth="1"/>
    <col min="6918" max="7166" width="9.109375" style="5"/>
    <col min="7167" max="7167" width="5.88671875" style="5" customWidth="1"/>
    <col min="7168" max="7168" width="70.109375" style="5" customWidth="1"/>
    <col min="7169" max="7169" width="5.44140625" style="5" customWidth="1"/>
    <col min="7170" max="7170" width="11.109375" style="5" customWidth="1"/>
    <col min="7171" max="7171" width="15.6640625" style="5" customWidth="1"/>
    <col min="7172" max="7172" width="13.109375" style="5" customWidth="1"/>
    <col min="7173" max="7173" width="10.33203125" style="5" bestFit="1" customWidth="1"/>
    <col min="7174" max="7422" width="9.109375" style="5"/>
    <col min="7423" max="7423" width="5.88671875" style="5" customWidth="1"/>
    <col min="7424" max="7424" width="70.109375" style="5" customWidth="1"/>
    <col min="7425" max="7425" width="5.44140625" style="5" customWidth="1"/>
    <col min="7426" max="7426" width="11.109375" style="5" customWidth="1"/>
    <col min="7427" max="7427" width="15.6640625" style="5" customWidth="1"/>
    <col min="7428" max="7428" width="13.109375" style="5" customWidth="1"/>
    <col min="7429" max="7429" width="10.33203125" style="5" bestFit="1" customWidth="1"/>
    <col min="7430" max="7678" width="9.109375" style="5"/>
    <col min="7679" max="7679" width="5.88671875" style="5" customWidth="1"/>
    <col min="7680" max="7680" width="70.109375" style="5" customWidth="1"/>
    <col min="7681" max="7681" width="5.44140625" style="5" customWidth="1"/>
    <col min="7682" max="7682" width="11.109375" style="5" customWidth="1"/>
    <col min="7683" max="7683" width="15.6640625" style="5" customWidth="1"/>
    <col min="7684" max="7684" width="13.109375" style="5" customWidth="1"/>
    <col min="7685" max="7685" width="10.33203125" style="5" bestFit="1" customWidth="1"/>
    <col min="7686" max="7934" width="9.109375" style="5"/>
    <col min="7935" max="7935" width="5.88671875" style="5" customWidth="1"/>
    <col min="7936" max="7936" width="70.109375" style="5" customWidth="1"/>
    <col min="7937" max="7937" width="5.44140625" style="5" customWidth="1"/>
    <col min="7938" max="7938" width="11.109375" style="5" customWidth="1"/>
    <col min="7939" max="7939" width="15.6640625" style="5" customWidth="1"/>
    <col min="7940" max="7940" width="13.109375" style="5" customWidth="1"/>
    <col min="7941" max="7941" width="10.33203125" style="5" bestFit="1" customWidth="1"/>
    <col min="7942" max="8190" width="9.109375" style="5"/>
    <col min="8191" max="8191" width="5.88671875" style="5" customWidth="1"/>
    <col min="8192" max="8192" width="70.109375" style="5" customWidth="1"/>
    <col min="8193" max="8193" width="5.44140625" style="5" customWidth="1"/>
    <col min="8194" max="8194" width="11.109375" style="5" customWidth="1"/>
    <col min="8195" max="8195" width="15.6640625" style="5" customWidth="1"/>
    <col min="8196" max="8196" width="13.109375" style="5" customWidth="1"/>
    <col min="8197" max="8197" width="10.33203125" style="5" bestFit="1" customWidth="1"/>
    <col min="8198" max="8446" width="9.109375" style="5"/>
    <col min="8447" max="8447" width="5.88671875" style="5" customWidth="1"/>
    <col min="8448" max="8448" width="70.109375" style="5" customWidth="1"/>
    <col min="8449" max="8449" width="5.44140625" style="5" customWidth="1"/>
    <col min="8450" max="8450" width="11.109375" style="5" customWidth="1"/>
    <col min="8451" max="8451" width="15.6640625" style="5" customWidth="1"/>
    <col min="8452" max="8452" width="13.109375" style="5" customWidth="1"/>
    <col min="8453" max="8453" width="10.33203125" style="5" bestFit="1" customWidth="1"/>
    <col min="8454" max="8702" width="9.109375" style="5"/>
    <col min="8703" max="8703" width="5.88671875" style="5" customWidth="1"/>
    <col min="8704" max="8704" width="70.109375" style="5" customWidth="1"/>
    <col min="8705" max="8705" width="5.44140625" style="5" customWidth="1"/>
    <col min="8706" max="8706" width="11.109375" style="5" customWidth="1"/>
    <col min="8707" max="8707" width="15.6640625" style="5" customWidth="1"/>
    <col min="8708" max="8708" width="13.109375" style="5" customWidth="1"/>
    <col min="8709" max="8709" width="10.33203125" style="5" bestFit="1" customWidth="1"/>
    <col min="8710" max="8958" width="9.109375" style="5"/>
    <col min="8959" max="8959" width="5.88671875" style="5" customWidth="1"/>
    <col min="8960" max="8960" width="70.109375" style="5" customWidth="1"/>
    <col min="8961" max="8961" width="5.44140625" style="5" customWidth="1"/>
    <col min="8962" max="8962" width="11.109375" style="5" customWidth="1"/>
    <col min="8963" max="8963" width="15.6640625" style="5" customWidth="1"/>
    <col min="8964" max="8964" width="13.109375" style="5" customWidth="1"/>
    <col min="8965" max="8965" width="10.33203125" style="5" bestFit="1" customWidth="1"/>
    <col min="8966" max="9214" width="9.109375" style="5"/>
    <col min="9215" max="9215" width="5.88671875" style="5" customWidth="1"/>
    <col min="9216" max="9216" width="70.109375" style="5" customWidth="1"/>
    <col min="9217" max="9217" width="5.44140625" style="5" customWidth="1"/>
    <col min="9218" max="9218" width="11.109375" style="5" customWidth="1"/>
    <col min="9219" max="9219" width="15.6640625" style="5" customWidth="1"/>
    <col min="9220" max="9220" width="13.109375" style="5" customWidth="1"/>
    <col min="9221" max="9221" width="10.33203125" style="5" bestFit="1" customWidth="1"/>
    <col min="9222" max="9470" width="9.109375" style="5"/>
    <col min="9471" max="9471" width="5.88671875" style="5" customWidth="1"/>
    <col min="9472" max="9472" width="70.109375" style="5" customWidth="1"/>
    <col min="9473" max="9473" width="5.44140625" style="5" customWidth="1"/>
    <col min="9474" max="9474" width="11.109375" style="5" customWidth="1"/>
    <col min="9475" max="9475" width="15.6640625" style="5" customWidth="1"/>
    <col min="9476" max="9476" width="13.109375" style="5" customWidth="1"/>
    <col min="9477" max="9477" width="10.33203125" style="5" bestFit="1" customWidth="1"/>
    <col min="9478" max="9726" width="9.109375" style="5"/>
    <col min="9727" max="9727" width="5.88671875" style="5" customWidth="1"/>
    <col min="9728" max="9728" width="70.109375" style="5" customWidth="1"/>
    <col min="9729" max="9729" width="5.44140625" style="5" customWidth="1"/>
    <col min="9730" max="9730" width="11.109375" style="5" customWidth="1"/>
    <col min="9731" max="9731" width="15.6640625" style="5" customWidth="1"/>
    <col min="9732" max="9732" width="13.109375" style="5" customWidth="1"/>
    <col min="9733" max="9733" width="10.33203125" style="5" bestFit="1" customWidth="1"/>
    <col min="9734" max="9982" width="9.109375" style="5"/>
    <col min="9983" max="9983" width="5.88671875" style="5" customWidth="1"/>
    <col min="9984" max="9984" width="70.109375" style="5" customWidth="1"/>
    <col min="9985" max="9985" width="5.44140625" style="5" customWidth="1"/>
    <col min="9986" max="9986" width="11.109375" style="5" customWidth="1"/>
    <col min="9987" max="9987" width="15.6640625" style="5" customWidth="1"/>
    <col min="9988" max="9988" width="13.109375" style="5" customWidth="1"/>
    <col min="9989" max="9989" width="10.33203125" style="5" bestFit="1" customWidth="1"/>
    <col min="9990" max="10238" width="9.109375" style="5"/>
    <col min="10239" max="10239" width="5.88671875" style="5" customWidth="1"/>
    <col min="10240" max="10240" width="70.109375" style="5" customWidth="1"/>
    <col min="10241" max="10241" width="5.44140625" style="5" customWidth="1"/>
    <col min="10242" max="10242" width="11.109375" style="5" customWidth="1"/>
    <col min="10243" max="10243" width="15.6640625" style="5" customWidth="1"/>
    <col min="10244" max="10244" width="13.109375" style="5" customWidth="1"/>
    <col min="10245" max="10245" width="10.33203125" style="5" bestFit="1" customWidth="1"/>
    <col min="10246" max="10494" width="9.109375" style="5"/>
    <col min="10495" max="10495" width="5.88671875" style="5" customWidth="1"/>
    <col min="10496" max="10496" width="70.109375" style="5" customWidth="1"/>
    <col min="10497" max="10497" width="5.44140625" style="5" customWidth="1"/>
    <col min="10498" max="10498" width="11.109375" style="5" customWidth="1"/>
    <col min="10499" max="10499" width="15.6640625" style="5" customWidth="1"/>
    <col min="10500" max="10500" width="13.109375" style="5" customWidth="1"/>
    <col min="10501" max="10501" width="10.33203125" style="5" bestFit="1" customWidth="1"/>
    <col min="10502" max="10750" width="9.109375" style="5"/>
    <col min="10751" max="10751" width="5.88671875" style="5" customWidth="1"/>
    <col min="10752" max="10752" width="70.109375" style="5" customWidth="1"/>
    <col min="10753" max="10753" width="5.44140625" style="5" customWidth="1"/>
    <col min="10754" max="10754" width="11.109375" style="5" customWidth="1"/>
    <col min="10755" max="10755" width="15.6640625" style="5" customWidth="1"/>
    <col min="10756" max="10756" width="13.109375" style="5" customWidth="1"/>
    <col min="10757" max="10757" width="10.33203125" style="5" bestFit="1" customWidth="1"/>
    <col min="10758" max="11006" width="9.109375" style="5"/>
    <col min="11007" max="11007" width="5.88671875" style="5" customWidth="1"/>
    <col min="11008" max="11008" width="70.109375" style="5" customWidth="1"/>
    <col min="11009" max="11009" width="5.44140625" style="5" customWidth="1"/>
    <col min="11010" max="11010" width="11.109375" style="5" customWidth="1"/>
    <col min="11011" max="11011" width="15.6640625" style="5" customWidth="1"/>
    <col min="11012" max="11012" width="13.109375" style="5" customWidth="1"/>
    <col min="11013" max="11013" width="10.33203125" style="5" bestFit="1" customWidth="1"/>
    <col min="11014" max="11262" width="9.109375" style="5"/>
    <col min="11263" max="11263" width="5.88671875" style="5" customWidth="1"/>
    <col min="11264" max="11264" width="70.109375" style="5" customWidth="1"/>
    <col min="11265" max="11265" width="5.44140625" style="5" customWidth="1"/>
    <col min="11266" max="11266" width="11.109375" style="5" customWidth="1"/>
    <col min="11267" max="11267" width="15.6640625" style="5" customWidth="1"/>
    <col min="11268" max="11268" width="13.109375" style="5" customWidth="1"/>
    <col min="11269" max="11269" width="10.33203125" style="5" bestFit="1" customWidth="1"/>
    <col min="11270" max="11518" width="9.109375" style="5"/>
    <col min="11519" max="11519" width="5.88671875" style="5" customWidth="1"/>
    <col min="11520" max="11520" width="70.109375" style="5" customWidth="1"/>
    <col min="11521" max="11521" width="5.44140625" style="5" customWidth="1"/>
    <col min="11522" max="11522" width="11.109375" style="5" customWidth="1"/>
    <col min="11523" max="11523" width="15.6640625" style="5" customWidth="1"/>
    <col min="11524" max="11524" width="13.109375" style="5" customWidth="1"/>
    <col min="11525" max="11525" width="10.33203125" style="5" bestFit="1" customWidth="1"/>
    <col min="11526" max="11774" width="9.109375" style="5"/>
    <col min="11775" max="11775" width="5.88671875" style="5" customWidth="1"/>
    <col min="11776" max="11776" width="70.109375" style="5" customWidth="1"/>
    <col min="11777" max="11777" width="5.44140625" style="5" customWidth="1"/>
    <col min="11778" max="11778" width="11.109375" style="5" customWidth="1"/>
    <col min="11779" max="11779" width="15.6640625" style="5" customWidth="1"/>
    <col min="11780" max="11780" width="13.109375" style="5" customWidth="1"/>
    <col min="11781" max="11781" width="10.33203125" style="5" bestFit="1" customWidth="1"/>
    <col min="11782" max="12030" width="9.109375" style="5"/>
    <col min="12031" max="12031" width="5.88671875" style="5" customWidth="1"/>
    <col min="12032" max="12032" width="70.109375" style="5" customWidth="1"/>
    <col min="12033" max="12033" width="5.44140625" style="5" customWidth="1"/>
    <col min="12034" max="12034" width="11.109375" style="5" customWidth="1"/>
    <col min="12035" max="12035" width="15.6640625" style="5" customWidth="1"/>
    <col min="12036" max="12036" width="13.109375" style="5" customWidth="1"/>
    <col min="12037" max="12037" width="10.33203125" style="5" bestFit="1" customWidth="1"/>
    <col min="12038" max="12286" width="9.109375" style="5"/>
    <col min="12287" max="12287" width="5.88671875" style="5" customWidth="1"/>
    <col min="12288" max="12288" width="70.109375" style="5" customWidth="1"/>
    <col min="12289" max="12289" width="5.44140625" style="5" customWidth="1"/>
    <col min="12290" max="12290" width="11.109375" style="5" customWidth="1"/>
    <col min="12291" max="12291" width="15.6640625" style="5" customWidth="1"/>
    <col min="12292" max="12292" width="13.109375" style="5" customWidth="1"/>
    <col min="12293" max="12293" width="10.33203125" style="5" bestFit="1" customWidth="1"/>
    <col min="12294" max="12542" width="9.109375" style="5"/>
    <col min="12543" max="12543" width="5.88671875" style="5" customWidth="1"/>
    <col min="12544" max="12544" width="70.109375" style="5" customWidth="1"/>
    <col min="12545" max="12545" width="5.44140625" style="5" customWidth="1"/>
    <col min="12546" max="12546" width="11.109375" style="5" customWidth="1"/>
    <col min="12547" max="12547" width="15.6640625" style="5" customWidth="1"/>
    <col min="12548" max="12548" width="13.109375" style="5" customWidth="1"/>
    <col min="12549" max="12549" width="10.33203125" style="5" bestFit="1" customWidth="1"/>
    <col min="12550" max="12798" width="9.109375" style="5"/>
    <col min="12799" max="12799" width="5.88671875" style="5" customWidth="1"/>
    <col min="12800" max="12800" width="70.109375" style="5" customWidth="1"/>
    <col min="12801" max="12801" width="5.44140625" style="5" customWidth="1"/>
    <col min="12802" max="12802" width="11.109375" style="5" customWidth="1"/>
    <col min="12803" max="12803" width="15.6640625" style="5" customWidth="1"/>
    <col min="12804" max="12804" width="13.109375" style="5" customWidth="1"/>
    <col min="12805" max="12805" width="10.33203125" style="5" bestFit="1" customWidth="1"/>
    <col min="12806" max="13054" width="9.109375" style="5"/>
    <col min="13055" max="13055" width="5.88671875" style="5" customWidth="1"/>
    <col min="13056" max="13056" width="70.109375" style="5" customWidth="1"/>
    <col min="13057" max="13057" width="5.44140625" style="5" customWidth="1"/>
    <col min="13058" max="13058" width="11.109375" style="5" customWidth="1"/>
    <col min="13059" max="13059" width="15.6640625" style="5" customWidth="1"/>
    <col min="13060" max="13060" width="13.109375" style="5" customWidth="1"/>
    <col min="13061" max="13061" width="10.33203125" style="5" bestFit="1" customWidth="1"/>
    <col min="13062" max="13310" width="9.109375" style="5"/>
    <col min="13311" max="13311" width="5.88671875" style="5" customWidth="1"/>
    <col min="13312" max="13312" width="70.109375" style="5" customWidth="1"/>
    <col min="13313" max="13313" width="5.44140625" style="5" customWidth="1"/>
    <col min="13314" max="13314" width="11.109375" style="5" customWidth="1"/>
    <col min="13315" max="13315" width="15.6640625" style="5" customWidth="1"/>
    <col min="13316" max="13316" width="13.109375" style="5" customWidth="1"/>
    <col min="13317" max="13317" width="10.33203125" style="5" bestFit="1" customWidth="1"/>
    <col min="13318" max="13566" width="9.109375" style="5"/>
    <col min="13567" max="13567" width="5.88671875" style="5" customWidth="1"/>
    <col min="13568" max="13568" width="70.109375" style="5" customWidth="1"/>
    <col min="13569" max="13569" width="5.44140625" style="5" customWidth="1"/>
    <col min="13570" max="13570" width="11.109375" style="5" customWidth="1"/>
    <col min="13571" max="13571" width="15.6640625" style="5" customWidth="1"/>
    <col min="13572" max="13572" width="13.109375" style="5" customWidth="1"/>
    <col min="13573" max="13573" width="10.33203125" style="5" bestFit="1" customWidth="1"/>
    <col min="13574" max="13822" width="9.109375" style="5"/>
    <col min="13823" max="13823" width="5.88671875" style="5" customWidth="1"/>
    <col min="13824" max="13824" width="70.109375" style="5" customWidth="1"/>
    <col min="13825" max="13825" width="5.44140625" style="5" customWidth="1"/>
    <col min="13826" max="13826" width="11.109375" style="5" customWidth="1"/>
    <col min="13827" max="13827" width="15.6640625" style="5" customWidth="1"/>
    <col min="13828" max="13828" width="13.109375" style="5" customWidth="1"/>
    <col min="13829" max="13829" width="10.33203125" style="5" bestFit="1" customWidth="1"/>
    <col min="13830" max="14078" width="9.109375" style="5"/>
    <col min="14079" max="14079" width="5.88671875" style="5" customWidth="1"/>
    <col min="14080" max="14080" width="70.109375" style="5" customWidth="1"/>
    <col min="14081" max="14081" width="5.44140625" style="5" customWidth="1"/>
    <col min="14082" max="14082" width="11.109375" style="5" customWidth="1"/>
    <col min="14083" max="14083" width="15.6640625" style="5" customWidth="1"/>
    <col min="14084" max="14084" width="13.109375" style="5" customWidth="1"/>
    <col min="14085" max="14085" width="10.33203125" style="5" bestFit="1" customWidth="1"/>
    <col min="14086" max="14334" width="9.109375" style="5"/>
    <col min="14335" max="14335" width="5.88671875" style="5" customWidth="1"/>
    <col min="14336" max="14336" width="70.109375" style="5" customWidth="1"/>
    <col min="14337" max="14337" width="5.44140625" style="5" customWidth="1"/>
    <col min="14338" max="14338" width="11.109375" style="5" customWidth="1"/>
    <col min="14339" max="14339" width="15.6640625" style="5" customWidth="1"/>
    <col min="14340" max="14340" width="13.109375" style="5" customWidth="1"/>
    <col min="14341" max="14341" width="10.33203125" style="5" bestFit="1" customWidth="1"/>
    <col min="14342" max="14590" width="9.109375" style="5"/>
    <col min="14591" max="14591" width="5.88671875" style="5" customWidth="1"/>
    <col min="14592" max="14592" width="70.109375" style="5" customWidth="1"/>
    <col min="14593" max="14593" width="5.44140625" style="5" customWidth="1"/>
    <col min="14594" max="14594" width="11.109375" style="5" customWidth="1"/>
    <col min="14595" max="14595" width="15.6640625" style="5" customWidth="1"/>
    <col min="14596" max="14596" width="13.109375" style="5" customWidth="1"/>
    <col min="14597" max="14597" width="10.33203125" style="5" bestFit="1" customWidth="1"/>
    <col min="14598" max="14846" width="9.109375" style="5"/>
    <col min="14847" max="14847" width="5.88671875" style="5" customWidth="1"/>
    <col min="14848" max="14848" width="70.109375" style="5" customWidth="1"/>
    <col min="14849" max="14849" width="5.44140625" style="5" customWidth="1"/>
    <col min="14850" max="14850" width="11.109375" style="5" customWidth="1"/>
    <col min="14851" max="14851" width="15.6640625" style="5" customWidth="1"/>
    <col min="14852" max="14852" width="13.109375" style="5" customWidth="1"/>
    <col min="14853" max="14853" width="10.33203125" style="5" bestFit="1" customWidth="1"/>
    <col min="14854" max="15102" width="9.109375" style="5"/>
    <col min="15103" max="15103" width="5.88671875" style="5" customWidth="1"/>
    <col min="15104" max="15104" width="70.109375" style="5" customWidth="1"/>
    <col min="15105" max="15105" width="5.44140625" style="5" customWidth="1"/>
    <col min="15106" max="15106" width="11.109375" style="5" customWidth="1"/>
    <col min="15107" max="15107" width="15.6640625" style="5" customWidth="1"/>
    <col min="15108" max="15108" width="13.109375" style="5" customWidth="1"/>
    <col min="15109" max="15109" width="10.33203125" style="5" bestFit="1" customWidth="1"/>
    <col min="15110" max="15358" width="9.109375" style="5"/>
    <col min="15359" max="15359" width="5.88671875" style="5" customWidth="1"/>
    <col min="15360" max="15360" width="70.109375" style="5" customWidth="1"/>
    <col min="15361" max="15361" width="5.44140625" style="5" customWidth="1"/>
    <col min="15362" max="15362" width="11.109375" style="5" customWidth="1"/>
    <col min="15363" max="15363" width="15.6640625" style="5" customWidth="1"/>
    <col min="15364" max="15364" width="13.109375" style="5" customWidth="1"/>
    <col min="15365" max="15365" width="10.33203125" style="5" bestFit="1" customWidth="1"/>
    <col min="15366" max="15614" width="9.109375" style="5"/>
    <col min="15615" max="15615" width="5.88671875" style="5" customWidth="1"/>
    <col min="15616" max="15616" width="70.109375" style="5" customWidth="1"/>
    <col min="15617" max="15617" width="5.44140625" style="5" customWidth="1"/>
    <col min="15618" max="15618" width="11.109375" style="5" customWidth="1"/>
    <col min="15619" max="15619" width="15.6640625" style="5" customWidth="1"/>
    <col min="15620" max="15620" width="13.109375" style="5" customWidth="1"/>
    <col min="15621" max="15621" width="10.33203125" style="5" bestFit="1" customWidth="1"/>
    <col min="15622" max="15870" width="9.109375" style="5"/>
    <col min="15871" max="15871" width="5.88671875" style="5" customWidth="1"/>
    <col min="15872" max="15872" width="70.109375" style="5" customWidth="1"/>
    <col min="15873" max="15873" width="5.44140625" style="5" customWidth="1"/>
    <col min="15874" max="15874" width="11.109375" style="5" customWidth="1"/>
    <col min="15875" max="15875" width="15.6640625" style="5" customWidth="1"/>
    <col min="15876" max="15876" width="13.109375" style="5" customWidth="1"/>
    <col min="15877" max="15877" width="10.33203125" style="5" bestFit="1" customWidth="1"/>
    <col min="15878" max="16126" width="9.109375" style="5"/>
    <col min="16127" max="16127" width="5.88671875" style="5" customWidth="1"/>
    <col min="16128" max="16128" width="70.109375" style="5" customWidth="1"/>
    <col min="16129" max="16129" width="5.44140625" style="5" customWidth="1"/>
    <col min="16130" max="16130" width="11.109375" style="5" customWidth="1"/>
    <col min="16131" max="16131" width="15.6640625" style="5" customWidth="1"/>
    <col min="16132" max="16132" width="13.109375" style="5" customWidth="1"/>
    <col min="16133" max="16133" width="10.33203125" style="5" bestFit="1" customWidth="1"/>
    <col min="16134" max="16384" width="9.109375" style="5"/>
  </cols>
  <sheetData>
    <row r="1" spans="1:10" customFormat="1" ht="57.75" customHeight="1" thickBot="1">
      <c r="A1" s="253"/>
      <c r="B1" s="293"/>
      <c r="C1" s="294"/>
      <c r="D1" s="295"/>
      <c r="E1" s="237"/>
      <c r="F1" s="237"/>
      <c r="G1" s="237"/>
      <c r="H1" s="237"/>
      <c r="I1" s="237"/>
      <c r="J1" s="237"/>
    </row>
    <row r="2" spans="1:10" ht="20.25" customHeight="1" thickBot="1">
      <c r="A2" s="448" t="s">
        <v>560</v>
      </c>
      <c r="B2" s="449"/>
      <c r="C2" s="449"/>
      <c r="D2" s="449"/>
    </row>
    <row r="3" spans="1:10" ht="18.600000000000001" thickTop="1" thickBot="1">
      <c r="A3" s="92"/>
      <c r="B3" s="125" t="s">
        <v>566</v>
      </c>
      <c r="C3" s="93"/>
      <c r="D3" s="94"/>
    </row>
    <row r="4" spans="1:10" ht="16.8" thickBot="1">
      <c r="A4" s="128" t="s">
        <v>563</v>
      </c>
      <c r="B4" s="128" t="s">
        <v>108</v>
      </c>
      <c r="C4" s="133" t="s">
        <v>58</v>
      </c>
      <c r="D4" s="134" t="s">
        <v>109</v>
      </c>
    </row>
    <row r="5" spans="1:10" ht="16.5" customHeight="1" thickBot="1">
      <c r="A5" s="445" t="s">
        <v>567</v>
      </c>
      <c r="B5" s="446"/>
      <c r="C5" s="447"/>
      <c r="D5" s="129"/>
      <c r="E5" s="130"/>
    </row>
    <row r="6" spans="1:10" s="6" customFormat="1" ht="17.399999999999999">
      <c r="A6" s="104">
        <v>1</v>
      </c>
      <c r="B6" s="101" t="s">
        <v>480</v>
      </c>
      <c r="C6" s="97" t="s">
        <v>58</v>
      </c>
      <c r="D6" s="99">
        <v>13305.340159999998</v>
      </c>
    </row>
    <row r="7" spans="1:10" ht="17.399999999999999">
      <c r="A7" s="104">
        <f t="shared" ref="A7:A80" si="0">A6+1</f>
        <v>2</v>
      </c>
      <c r="B7" s="101" t="s">
        <v>218</v>
      </c>
      <c r="C7" s="97" t="s">
        <v>58</v>
      </c>
      <c r="D7" s="99">
        <v>6081.4745600000006</v>
      </c>
    </row>
    <row r="8" spans="1:10" ht="17.399999999999999">
      <c r="A8" s="104">
        <f t="shared" si="0"/>
        <v>3</v>
      </c>
      <c r="B8" s="101" t="s">
        <v>81</v>
      </c>
      <c r="C8" s="97" t="s">
        <v>58</v>
      </c>
      <c r="D8" s="99">
        <v>3602.6815999999999</v>
      </c>
    </row>
    <row r="9" spans="1:10" ht="17.399999999999999">
      <c r="A9" s="104">
        <f t="shared" si="0"/>
        <v>4</v>
      </c>
      <c r="B9" s="101" t="s">
        <v>80</v>
      </c>
      <c r="C9" s="97" t="s">
        <v>58</v>
      </c>
      <c r="D9" s="99">
        <v>862.74047999999993</v>
      </c>
    </row>
    <row r="10" spans="1:10" ht="17.399999999999999">
      <c r="A10" s="104">
        <f t="shared" si="0"/>
        <v>5</v>
      </c>
      <c r="B10" s="101" t="s">
        <v>51</v>
      </c>
      <c r="C10" s="97" t="s">
        <v>58</v>
      </c>
      <c r="D10" s="99">
        <v>1403.5391999999999</v>
      </c>
    </row>
    <row r="11" spans="1:10" ht="17.399999999999999">
      <c r="A11" s="104">
        <f t="shared" si="0"/>
        <v>6</v>
      </c>
      <c r="B11" s="101" t="s">
        <v>79</v>
      </c>
      <c r="C11" s="97" t="s">
        <v>58</v>
      </c>
      <c r="D11" s="99">
        <v>400.70911999999998</v>
      </c>
    </row>
    <row r="12" spans="1:10" ht="17.399999999999999">
      <c r="A12" s="104">
        <f t="shared" si="0"/>
        <v>7</v>
      </c>
      <c r="B12" s="101" t="s">
        <v>220</v>
      </c>
      <c r="C12" s="97" t="s">
        <v>58</v>
      </c>
      <c r="D12" s="99">
        <v>229.95839999999995</v>
      </c>
      <c r="E12" s="16"/>
    </row>
    <row r="13" spans="1:10" ht="17.399999999999999">
      <c r="A13" s="104">
        <f t="shared" si="0"/>
        <v>8</v>
      </c>
      <c r="B13" s="101" t="s">
        <v>83</v>
      </c>
      <c r="C13" s="97" t="s">
        <v>58</v>
      </c>
      <c r="D13" s="99">
        <v>304.49664000000001</v>
      </c>
      <c r="E13" s="16"/>
    </row>
    <row r="14" spans="1:10" ht="17.399999999999999">
      <c r="A14" s="104">
        <f t="shared" si="0"/>
        <v>9</v>
      </c>
      <c r="B14" s="101" t="s">
        <v>82</v>
      </c>
      <c r="C14" s="97" t="s">
        <v>58</v>
      </c>
      <c r="D14" s="99">
        <v>447.75808000000001</v>
      </c>
      <c r="E14" s="16"/>
    </row>
    <row r="15" spans="1:10" ht="17.399999999999999">
      <c r="A15" s="104">
        <f t="shared" si="0"/>
        <v>10</v>
      </c>
      <c r="B15" s="101" t="s">
        <v>219</v>
      </c>
      <c r="C15" s="97" t="s">
        <v>58</v>
      </c>
      <c r="D15" s="99">
        <v>722.12223999999992</v>
      </c>
      <c r="E15" s="16"/>
    </row>
    <row r="16" spans="1:10" ht="17.399999999999999">
      <c r="A16" s="104">
        <f t="shared" si="0"/>
        <v>11</v>
      </c>
      <c r="B16" s="101" t="s">
        <v>84</v>
      </c>
      <c r="C16" s="97" t="s">
        <v>58</v>
      </c>
      <c r="D16" s="99">
        <v>963.71071999999992</v>
      </c>
      <c r="E16" s="16"/>
    </row>
    <row r="17" spans="1:5" ht="17.399999999999999">
      <c r="A17" s="104">
        <f t="shared" si="0"/>
        <v>12</v>
      </c>
      <c r="B17" s="101" t="s">
        <v>221</v>
      </c>
      <c r="C17" s="97" t="s">
        <v>58</v>
      </c>
      <c r="D17" s="99">
        <v>1998.7878399999997</v>
      </c>
      <c r="E17" s="16"/>
    </row>
    <row r="18" spans="1:5" ht="17.399999999999999">
      <c r="A18" s="104">
        <f t="shared" si="0"/>
        <v>13</v>
      </c>
      <c r="B18" s="96" t="s">
        <v>306</v>
      </c>
      <c r="C18" s="97" t="s">
        <v>58</v>
      </c>
      <c r="D18" s="106">
        <v>419.82</v>
      </c>
    </row>
    <row r="19" spans="1:5" ht="17.399999999999999">
      <c r="A19" s="104">
        <f t="shared" si="0"/>
        <v>14</v>
      </c>
      <c r="B19" s="85" t="s">
        <v>309</v>
      </c>
      <c r="C19" s="97" t="s">
        <v>58</v>
      </c>
      <c r="D19" s="106">
        <v>904.81</v>
      </c>
    </row>
    <row r="20" spans="1:5" ht="17.399999999999999">
      <c r="A20" s="104">
        <f t="shared" si="0"/>
        <v>15</v>
      </c>
      <c r="B20" s="96" t="s">
        <v>305</v>
      </c>
      <c r="C20" s="97" t="s">
        <v>58</v>
      </c>
      <c r="D20" s="106">
        <v>1524.06</v>
      </c>
    </row>
    <row r="21" spans="1:5" ht="17.399999999999999">
      <c r="A21" s="104">
        <f t="shared" si="0"/>
        <v>16</v>
      </c>
      <c r="B21" s="96" t="s">
        <v>299</v>
      </c>
      <c r="C21" s="97" t="s">
        <v>58</v>
      </c>
      <c r="D21" s="106">
        <v>3149.5</v>
      </c>
    </row>
    <row r="22" spans="1:5" ht="17.399999999999999">
      <c r="A22" s="104">
        <f t="shared" si="0"/>
        <v>17</v>
      </c>
      <c r="B22" s="96" t="s">
        <v>302</v>
      </c>
      <c r="C22" s="97" t="s">
        <v>58</v>
      </c>
      <c r="D22" s="106">
        <v>5336.6</v>
      </c>
    </row>
    <row r="23" spans="1:5" ht="17.399999999999999">
      <c r="A23" s="104">
        <f t="shared" si="0"/>
        <v>18</v>
      </c>
      <c r="B23" s="96" t="s">
        <v>317</v>
      </c>
      <c r="C23" s="97" t="s">
        <v>58</v>
      </c>
      <c r="D23" s="106">
        <v>11687.81</v>
      </c>
    </row>
    <row r="24" spans="1:5" ht="18" thickBot="1">
      <c r="A24" s="143"/>
      <c r="B24" s="144"/>
      <c r="C24" s="145"/>
      <c r="D24" s="146"/>
    </row>
    <row r="25" spans="1:5" ht="16.5" customHeight="1" thickBot="1">
      <c r="A25" s="445" t="s">
        <v>568</v>
      </c>
      <c r="B25" s="446"/>
      <c r="C25" s="446"/>
      <c r="D25" s="130"/>
      <c r="E25" s="130"/>
    </row>
    <row r="26" spans="1:5" ht="17.399999999999999">
      <c r="A26" s="135">
        <f>A23+1</f>
        <v>19</v>
      </c>
      <c r="B26" s="185" t="s">
        <v>86</v>
      </c>
      <c r="C26" s="131" t="s">
        <v>58</v>
      </c>
      <c r="D26" s="234">
        <v>5.22</v>
      </c>
    </row>
    <row r="27" spans="1:5" ht="17.399999999999999">
      <c r="A27" s="104">
        <f t="shared" si="0"/>
        <v>20</v>
      </c>
      <c r="B27" s="85" t="s">
        <v>87</v>
      </c>
      <c r="C27" s="97" t="s">
        <v>58</v>
      </c>
      <c r="D27" s="99">
        <v>1.85</v>
      </c>
    </row>
    <row r="28" spans="1:5" ht="17.399999999999999">
      <c r="A28" s="104">
        <f t="shared" si="0"/>
        <v>21</v>
      </c>
      <c r="B28" s="85" t="s">
        <v>16</v>
      </c>
      <c r="C28" s="97" t="s">
        <v>58</v>
      </c>
      <c r="D28" s="99">
        <v>12.41</v>
      </c>
    </row>
    <row r="29" spans="1:5" ht="17.399999999999999">
      <c r="A29" s="104">
        <f t="shared" si="0"/>
        <v>22</v>
      </c>
      <c r="B29" s="85" t="s">
        <v>88</v>
      </c>
      <c r="C29" s="97" t="s">
        <v>58</v>
      </c>
      <c r="D29" s="99">
        <v>45.35</v>
      </c>
    </row>
    <row r="30" spans="1:5" ht="17.399999999999999">
      <c r="A30" s="104">
        <f t="shared" si="0"/>
        <v>23</v>
      </c>
      <c r="B30" s="103" t="s">
        <v>91</v>
      </c>
      <c r="C30" s="97" t="s">
        <v>58</v>
      </c>
      <c r="D30" s="99">
        <v>51.967999999999996</v>
      </c>
    </row>
    <row r="31" spans="1:5" ht="17.399999999999999">
      <c r="A31" s="104">
        <f t="shared" si="0"/>
        <v>24</v>
      </c>
      <c r="B31" s="85" t="s">
        <v>17</v>
      </c>
      <c r="C31" s="97" t="s">
        <v>58</v>
      </c>
      <c r="D31" s="99">
        <v>121.875</v>
      </c>
    </row>
    <row r="32" spans="1:5" ht="17.399999999999999">
      <c r="A32" s="104">
        <f t="shared" si="0"/>
        <v>25</v>
      </c>
      <c r="B32" s="85" t="s">
        <v>21</v>
      </c>
      <c r="C32" s="97" t="s">
        <v>58</v>
      </c>
      <c r="D32" s="99">
        <v>87</v>
      </c>
    </row>
    <row r="33" spans="1:4" s="16" customFormat="1" ht="17.399999999999999">
      <c r="A33" s="104">
        <f t="shared" si="0"/>
        <v>26</v>
      </c>
      <c r="B33" s="85" t="s">
        <v>307</v>
      </c>
      <c r="C33" s="97" t="s">
        <v>58</v>
      </c>
      <c r="D33" s="106">
        <v>100.05</v>
      </c>
    </row>
    <row r="34" spans="1:4" s="16" customFormat="1" ht="17.399999999999999">
      <c r="A34" s="104">
        <f t="shared" si="0"/>
        <v>27</v>
      </c>
      <c r="B34" s="96" t="s">
        <v>303</v>
      </c>
      <c r="C34" s="97" t="s">
        <v>58</v>
      </c>
      <c r="D34" s="106">
        <v>321.59999999999997</v>
      </c>
    </row>
    <row r="35" spans="1:4" s="16" customFormat="1" ht="17.399999999999999">
      <c r="A35" s="104">
        <f t="shared" si="0"/>
        <v>28</v>
      </c>
      <c r="B35" s="96" t="s">
        <v>300</v>
      </c>
      <c r="C35" s="97" t="s">
        <v>58</v>
      </c>
      <c r="D35" s="106">
        <v>268</v>
      </c>
    </row>
    <row r="36" spans="1:4" s="16" customFormat="1" ht="17.399999999999999">
      <c r="A36" s="104">
        <f t="shared" si="0"/>
        <v>29</v>
      </c>
      <c r="B36" s="96" t="s">
        <v>19</v>
      </c>
      <c r="C36" s="97" t="s">
        <v>58</v>
      </c>
      <c r="D36" s="106">
        <v>62.65</v>
      </c>
    </row>
    <row r="37" spans="1:4" ht="17.399999999999999">
      <c r="A37" s="104">
        <f t="shared" si="0"/>
        <v>30</v>
      </c>
      <c r="B37" s="96" t="s">
        <v>28</v>
      </c>
      <c r="C37" s="97" t="s">
        <v>58</v>
      </c>
      <c r="D37" s="99">
        <v>45.24</v>
      </c>
    </row>
    <row r="38" spans="1:4" ht="17.399999999999999">
      <c r="A38" s="104">
        <f t="shared" si="0"/>
        <v>31</v>
      </c>
      <c r="B38" s="96" t="s">
        <v>222</v>
      </c>
      <c r="C38" s="97" t="s">
        <v>58</v>
      </c>
      <c r="D38" s="99">
        <v>14.84</v>
      </c>
    </row>
    <row r="39" spans="1:4" s="16" customFormat="1" ht="17.399999999999999">
      <c r="A39" s="104">
        <f t="shared" si="0"/>
        <v>32</v>
      </c>
      <c r="B39" s="105" t="s">
        <v>316</v>
      </c>
      <c r="C39" s="97" t="s">
        <v>58</v>
      </c>
      <c r="D39" s="106">
        <v>30.159999999999997</v>
      </c>
    </row>
    <row r="40" spans="1:4" s="16" customFormat="1" ht="17.399999999999999">
      <c r="A40" s="104">
        <f t="shared" si="0"/>
        <v>33</v>
      </c>
      <c r="B40" s="96" t="s">
        <v>52</v>
      </c>
      <c r="C40" s="97" t="s">
        <v>58</v>
      </c>
      <c r="D40" s="106">
        <v>105.56</v>
      </c>
    </row>
    <row r="41" spans="1:4" ht="17.399999999999999">
      <c r="A41" s="104">
        <f t="shared" si="0"/>
        <v>34</v>
      </c>
      <c r="B41" s="96" t="s">
        <v>40</v>
      </c>
      <c r="C41" s="97" t="s">
        <v>58</v>
      </c>
      <c r="D41" s="99">
        <v>61.48</v>
      </c>
    </row>
    <row r="42" spans="1:4" ht="17.399999999999999">
      <c r="A42" s="104">
        <f t="shared" si="0"/>
        <v>35</v>
      </c>
      <c r="B42" s="96" t="s">
        <v>293</v>
      </c>
      <c r="C42" s="97" t="s">
        <v>58</v>
      </c>
      <c r="D42" s="99">
        <v>22.62</v>
      </c>
    </row>
    <row r="43" spans="1:4" ht="17.399999999999999">
      <c r="A43" s="104">
        <f t="shared" si="0"/>
        <v>36</v>
      </c>
      <c r="B43" s="105" t="s">
        <v>289</v>
      </c>
      <c r="C43" s="97" t="s">
        <v>58</v>
      </c>
      <c r="D43" s="106">
        <v>9.39</v>
      </c>
    </row>
    <row r="44" spans="1:4" ht="17.399999999999999">
      <c r="A44" s="104">
        <f t="shared" si="0"/>
        <v>37</v>
      </c>
      <c r="B44" s="105" t="s">
        <v>290</v>
      </c>
      <c r="C44" s="97" t="s">
        <v>58</v>
      </c>
      <c r="D44" s="106">
        <v>45.12</v>
      </c>
    </row>
    <row r="45" spans="1:4" ht="17.399999999999999">
      <c r="A45" s="104">
        <f t="shared" si="0"/>
        <v>38</v>
      </c>
      <c r="B45" s="96" t="s">
        <v>310</v>
      </c>
      <c r="C45" s="97" t="s">
        <v>58</v>
      </c>
      <c r="D45" s="106">
        <v>22.62</v>
      </c>
    </row>
    <row r="46" spans="1:4" ht="17.399999999999999">
      <c r="A46" s="104">
        <f t="shared" si="0"/>
        <v>39</v>
      </c>
      <c r="B46" s="96" t="s">
        <v>311</v>
      </c>
      <c r="C46" s="97" t="s">
        <v>58</v>
      </c>
      <c r="D46" s="106">
        <v>105.56</v>
      </c>
    </row>
    <row r="47" spans="1:4" ht="17.399999999999999">
      <c r="A47" s="104">
        <f t="shared" si="0"/>
        <v>40</v>
      </c>
      <c r="B47" s="96" t="s">
        <v>571</v>
      </c>
      <c r="C47" s="97" t="s">
        <v>58</v>
      </c>
      <c r="D47" s="106">
        <v>79.16</v>
      </c>
    </row>
    <row r="48" spans="1:4" ht="17.399999999999999">
      <c r="A48" s="104">
        <f t="shared" si="0"/>
        <v>41</v>
      </c>
      <c r="B48" s="96" t="s">
        <v>312</v>
      </c>
      <c r="C48" s="97" t="s">
        <v>58</v>
      </c>
      <c r="D48" s="106">
        <v>628.96</v>
      </c>
    </row>
    <row r="49" spans="1:5" ht="17.399999999999999">
      <c r="A49" s="104">
        <f t="shared" si="0"/>
        <v>42</v>
      </c>
      <c r="B49" s="96" t="s">
        <v>313</v>
      </c>
      <c r="C49" s="97" t="s">
        <v>58</v>
      </c>
      <c r="D49" s="106">
        <v>494.16</v>
      </c>
    </row>
    <row r="50" spans="1:5" ht="17.399999999999999">
      <c r="A50" s="104">
        <f t="shared" si="0"/>
        <v>43</v>
      </c>
      <c r="B50" s="96" t="s">
        <v>314</v>
      </c>
      <c r="C50" s="97" t="s">
        <v>58</v>
      </c>
      <c r="D50" s="106">
        <v>558.96</v>
      </c>
    </row>
    <row r="51" spans="1:5" ht="17.399999999999999">
      <c r="A51" s="104">
        <f t="shared" si="0"/>
        <v>44</v>
      </c>
      <c r="B51" s="96" t="s">
        <v>315</v>
      </c>
      <c r="C51" s="97" t="s">
        <v>58</v>
      </c>
      <c r="D51" s="106">
        <v>528.96</v>
      </c>
    </row>
    <row r="52" spans="1:5" ht="17.399999999999999">
      <c r="A52" s="104">
        <f t="shared" si="0"/>
        <v>45</v>
      </c>
      <c r="B52" s="96" t="s">
        <v>301</v>
      </c>
      <c r="C52" s="97" t="s">
        <v>58</v>
      </c>
      <c r="D52" s="106">
        <v>426</v>
      </c>
    </row>
    <row r="53" spans="1:5" ht="17.399999999999999">
      <c r="A53" s="104">
        <f t="shared" si="0"/>
        <v>46</v>
      </c>
      <c r="B53" s="96" t="s">
        <v>304</v>
      </c>
      <c r="C53" s="97" t="s">
        <v>58</v>
      </c>
      <c r="D53" s="106">
        <v>511.2</v>
      </c>
    </row>
    <row r="54" spans="1:5" ht="18" thickBot="1">
      <c r="A54" s="235"/>
      <c r="B54" s="91"/>
      <c r="C54" s="90"/>
      <c r="D54" s="57"/>
    </row>
    <row r="55" spans="1:5" ht="16.5" customHeight="1" thickBot="1">
      <c r="A55" s="445" t="s">
        <v>576</v>
      </c>
      <c r="B55" s="446"/>
      <c r="C55" s="446"/>
      <c r="D55" s="130"/>
      <c r="E55" s="130"/>
    </row>
    <row r="56" spans="1:5" ht="17.399999999999999">
      <c r="A56" s="104">
        <f>A53+1</f>
        <v>47</v>
      </c>
      <c r="B56" s="85" t="s">
        <v>464</v>
      </c>
      <c r="C56" s="97" t="s">
        <v>58</v>
      </c>
      <c r="D56" s="106">
        <f>122.3*1.18</f>
        <v>144.31399999999999</v>
      </c>
    </row>
    <row r="57" spans="1:5" ht="17.399999999999999">
      <c r="A57" s="104">
        <f t="shared" ref="A57:A66" si="1">A56+1</f>
        <v>48</v>
      </c>
      <c r="B57" s="85" t="s">
        <v>460</v>
      </c>
      <c r="C57" s="97" t="s">
        <v>58</v>
      </c>
      <c r="D57" s="106">
        <f>104.25*1.18</f>
        <v>123.015</v>
      </c>
    </row>
    <row r="58" spans="1:5" ht="17.399999999999999">
      <c r="A58" s="104">
        <f t="shared" si="1"/>
        <v>49</v>
      </c>
      <c r="B58" s="85" t="s">
        <v>462</v>
      </c>
      <c r="C58" s="97" t="s">
        <v>58</v>
      </c>
      <c r="D58" s="106">
        <f>190.95*1.18</f>
        <v>225.32099999999997</v>
      </c>
    </row>
    <row r="59" spans="1:5" ht="17.399999999999999">
      <c r="A59" s="104">
        <f t="shared" si="1"/>
        <v>50</v>
      </c>
      <c r="B59" s="85" t="s">
        <v>457</v>
      </c>
      <c r="C59" s="97" t="s">
        <v>58</v>
      </c>
      <c r="D59" s="106">
        <f>167.2*1.18</f>
        <v>197.29599999999996</v>
      </c>
    </row>
    <row r="60" spans="1:5" ht="17.399999999999999">
      <c r="A60" s="104">
        <f t="shared" si="1"/>
        <v>51</v>
      </c>
      <c r="B60" s="85" t="s">
        <v>466</v>
      </c>
      <c r="C60" s="97" t="s">
        <v>58</v>
      </c>
      <c r="D60" s="106">
        <f>304.86*1.18</f>
        <v>359.73480000000001</v>
      </c>
    </row>
    <row r="61" spans="1:5" ht="17.399999999999999">
      <c r="A61" s="104">
        <f t="shared" si="1"/>
        <v>52</v>
      </c>
      <c r="B61" s="85" t="s">
        <v>455</v>
      </c>
      <c r="C61" s="97" t="s">
        <v>58</v>
      </c>
      <c r="D61" s="106">
        <f>265*1.18</f>
        <v>312.7</v>
      </c>
    </row>
    <row r="62" spans="1:5" ht="17.399999999999999">
      <c r="A62" s="104">
        <f t="shared" si="1"/>
        <v>53</v>
      </c>
      <c r="B62" s="85" t="s">
        <v>416</v>
      </c>
      <c r="C62" s="97" t="s">
        <v>58</v>
      </c>
      <c r="D62" s="106">
        <f>760*1.18</f>
        <v>896.8</v>
      </c>
    </row>
    <row r="63" spans="1:5" ht="17.399999999999999">
      <c r="A63" s="104">
        <f t="shared" si="1"/>
        <v>54</v>
      </c>
      <c r="B63" s="85" t="s">
        <v>448</v>
      </c>
      <c r="C63" s="97" t="s">
        <v>58</v>
      </c>
      <c r="D63" s="106">
        <f>1087.4*1.18</f>
        <v>1283.1320000000001</v>
      </c>
    </row>
    <row r="64" spans="1:5" ht="17.399999999999999">
      <c r="A64" s="104">
        <f t="shared" si="1"/>
        <v>55</v>
      </c>
      <c r="B64" s="85" t="s">
        <v>447</v>
      </c>
      <c r="C64" s="97" t="s">
        <v>58</v>
      </c>
      <c r="D64" s="106">
        <f>2271*1.18</f>
        <v>2679.7799999999997</v>
      </c>
    </row>
    <row r="65" spans="1:5" ht="17.399999999999999">
      <c r="A65" s="104">
        <f t="shared" si="1"/>
        <v>56</v>
      </c>
      <c r="B65" s="85" t="s">
        <v>509</v>
      </c>
      <c r="C65" s="97" t="s">
        <v>58</v>
      </c>
      <c r="D65" s="106">
        <f>3538.51*1.18</f>
        <v>4175.4417999999996</v>
      </c>
    </row>
    <row r="66" spans="1:5" ht="17.399999999999999">
      <c r="A66" s="104">
        <f t="shared" si="1"/>
        <v>57</v>
      </c>
      <c r="B66" s="85" t="s">
        <v>510</v>
      </c>
      <c r="C66" s="97" t="s">
        <v>58</v>
      </c>
      <c r="D66" s="106">
        <f>3036.03*1.18</f>
        <v>3582.5154000000002</v>
      </c>
    </row>
    <row r="67" spans="1:5" ht="18" thickBot="1">
      <c r="A67" s="235"/>
      <c r="B67" s="91"/>
      <c r="C67" s="90"/>
      <c r="D67" s="57"/>
    </row>
    <row r="68" spans="1:5" ht="16.5" customHeight="1" thickBot="1">
      <c r="A68" s="445" t="s">
        <v>577</v>
      </c>
      <c r="B68" s="446"/>
      <c r="C68" s="446"/>
      <c r="D68" s="130"/>
      <c r="E68" s="130"/>
    </row>
    <row r="69" spans="1:5" ht="17.399999999999999">
      <c r="A69" s="104">
        <f>A66+1</f>
        <v>58</v>
      </c>
      <c r="B69" s="85" t="s">
        <v>241</v>
      </c>
      <c r="C69" s="97" t="s">
        <v>58</v>
      </c>
      <c r="D69" s="106">
        <v>3928</v>
      </c>
    </row>
    <row r="70" spans="1:5" ht="17.399999999999999">
      <c r="A70" s="104">
        <f t="shared" ref="A70:A76" si="2">A69+1</f>
        <v>59</v>
      </c>
      <c r="B70" s="85" t="s">
        <v>242</v>
      </c>
      <c r="C70" s="97" t="s">
        <v>58</v>
      </c>
      <c r="D70" s="106">
        <v>5707</v>
      </c>
    </row>
    <row r="71" spans="1:5" ht="17.399999999999999">
      <c r="A71" s="104">
        <f t="shared" si="2"/>
        <v>60</v>
      </c>
      <c r="B71" s="85" t="s">
        <v>296</v>
      </c>
      <c r="C71" s="97" t="s">
        <v>58</v>
      </c>
      <c r="D71" s="106">
        <v>2243</v>
      </c>
    </row>
    <row r="72" spans="1:5" ht="17.399999999999999">
      <c r="A72" s="104">
        <f t="shared" si="2"/>
        <v>61</v>
      </c>
      <c r="B72" s="85" t="s">
        <v>277</v>
      </c>
      <c r="C72" s="97" t="s">
        <v>58</v>
      </c>
      <c r="D72" s="106">
        <v>125</v>
      </c>
    </row>
    <row r="73" spans="1:5" ht="17.399999999999999">
      <c r="A73" s="104">
        <f t="shared" si="2"/>
        <v>62</v>
      </c>
      <c r="B73" s="96" t="s">
        <v>223</v>
      </c>
      <c r="C73" s="97" t="s">
        <v>58</v>
      </c>
      <c r="D73" s="99">
        <v>300</v>
      </c>
    </row>
    <row r="74" spans="1:5" ht="17.399999999999999">
      <c r="A74" s="104">
        <f t="shared" si="2"/>
        <v>63</v>
      </c>
      <c r="B74" s="85" t="s">
        <v>278</v>
      </c>
      <c r="C74" s="97" t="s">
        <v>58</v>
      </c>
      <c r="D74" s="106">
        <v>448</v>
      </c>
    </row>
    <row r="75" spans="1:5" ht="17.399999999999999">
      <c r="A75" s="104">
        <f t="shared" si="2"/>
        <v>64</v>
      </c>
      <c r="B75" s="85" t="s">
        <v>279</v>
      </c>
      <c r="C75" s="97" t="s">
        <v>58</v>
      </c>
      <c r="D75" s="106">
        <v>272</v>
      </c>
    </row>
    <row r="76" spans="1:5" ht="17.399999999999999">
      <c r="A76" s="104">
        <f t="shared" si="2"/>
        <v>65</v>
      </c>
      <c r="B76" s="85" t="s">
        <v>280</v>
      </c>
      <c r="C76" s="97" t="s">
        <v>58</v>
      </c>
      <c r="D76" s="106">
        <v>700</v>
      </c>
    </row>
    <row r="77" spans="1:5" ht="18" thickBot="1">
      <c r="A77" s="104"/>
      <c r="B77" s="85"/>
      <c r="C77" s="97"/>
      <c r="D77" s="106"/>
    </row>
    <row r="78" spans="1:5" ht="16.5" customHeight="1" thickBot="1">
      <c r="A78" s="445" t="s">
        <v>570</v>
      </c>
      <c r="B78" s="446"/>
      <c r="C78" s="447"/>
      <c r="D78" s="129"/>
      <c r="E78" s="130"/>
    </row>
    <row r="79" spans="1:5" ht="17.399999999999999">
      <c r="A79" s="95">
        <f>A76+1</f>
        <v>66</v>
      </c>
      <c r="B79" s="103" t="s">
        <v>226</v>
      </c>
      <c r="C79" s="97" t="s">
        <v>58</v>
      </c>
      <c r="D79" s="99">
        <v>1879.1999999999998</v>
      </c>
    </row>
    <row r="80" spans="1:5" ht="17.399999999999999">
      <c r="A80" s="95">
        <f t="shared" si="0"/>
        <v>67</v>
      </c>
      <c r="B80" s="103" t="s">
        <v>227</v>
      </c>
      <c r="C80" s="97" t="s">
        <v>58</v>
      </c>
      <c r="D80" s="99">
        <v>650</v>
      </c>
    </row>
    <row r="81" spans="1:4" ht="17.399999999999999">
      <c r="A81" s="95">
        <f t="shared" ref="A81:A128" si="3">A80+1</f>
        <v>68</v>
      </c>
      <c r="B81" s="103" t="s">
        <v>228</v>
      </c>
      <c r="C81" s="97" t="s">
        <v>58</v>
      </c>
      <c r="D81" s="99">
        <v>2018.3999999999999</v>
      </c>
    </row>
    <row r="82" spans="1:4" ht="17.399999999999999">
      <c r="A82" s="95">
        <f t="shared" si="3"/>
        <v>69</v>
      </c>
      <c r="B82" s="103" t="s">
        <v>454</v>
      </c>
      <c r="C82" s="97" t="s">
        <v>58</v>
      </c>
      <c r="D82" s="99">
        <v>3500</v>
      </c>
    </row>
    <row r="83" spans="1:4" ht="17.399999999999999">
      <c r="A83" s="95">
        <f t="shared" si="3"/>
        <v>70</v>
      </c>
      <c r="B83" s="85" t="s">
        <v>97</v>
      </c>
      <c r="C83" s="97" t="s">
        <v>58</v>
      </c>
      <c r="D83" s="99">
        <v>1343.28</v>
      </c>
    </row>
    <row r="84" spans="1:4" ht="17.399999999999999">
      <c r="A84" s="95">
        <f t="shared" si="3"/>
        <v>71</v>
      </c>
      <c r="B84" s="96" t="s">
        <v>98</v>
      </c>
      <c r="C84" s="97" t="s">
        <v>58</v>
      </c>
      <c r="D84" s="99">
        <v>1950</v>
      </c>
    </row>
    <row r="85" spans="1:4" ht="17.399999999999999">
      <c r="A85" s="95">
        <f t="shared" si="3"/>
        <v>72</v>
      </c>
      <c r="B85" s="96" t="s">
        <v>99</v>
      </c>
      <c r="C85" s="97" t="s">
        <v>58</v>
      </c>
      <c r="D85" s="99">
        <v>350</v>
      </c>
    </row>
    <row r="86" spans="1:4" ht="17.399999999999999">
      <c r="A86" s="95">
        <f t="shared" si="3"/>
        <v>73</v>
      </c>
      <c r="B86" s="103" t="s">
        <v>229</v>
      </c>
      <c r="C86" s="97" t="s">
        <v>58</v>
      </c>
      <c r="D86" s="99">
        <v>2900</v>
      </c>
    </row>
    <row r="87" spans="1:4" ht="17.399999999999999">
      <c r="A87" s="95">
        <f t="shared" si="3"/>
        <v>74</v>
      </c>
      <c r="B87" s="103" t="s">
        <v>230</v>
      </c>
      <c r="C87" s="97" t="s">
        <v>58</v>
      </c>
      <c r="D87" s="99">
        <v>3088.5347999999994</v>
      </c>
    </row>
    <row r="88" spans="1:4" ht="17.399999999999999">
      <c r="A88" s="95">
        <f t="shared" si="3"/>
        <v>75</v>
      </c>
      <c r="B88" s="103" t="s">
        <v>100</v>
      </c>
      <c r="C88" s="97" t="s">
        <v>58</v>
      </c>
      <c r="D88" s="99">
        <v>2203.42</v>
      </c>
    </row>
    <row r="89" spans="1:4" ht="17.399999999999999">
      <c r="A89" s="95">
        <f t="shared" si="3"/>
        <v>76</v>
      </c>
      <c r="B89" s="85" t="s">
        <v>101</v>
      </c>
      <c r="C89" s="97" t="s">
        <v>58</v>
      </c>
      <c r="D89" s="99">
        <v>2850</v>
      </c>
    </row>
    <row r="90" spans="1:4" ht="32.4">
      <c r="A90" s="95">
        <f t="shared" si="3"/>
        <v>77</v>
      </c>
      <c r="B90" s="105" t="s">
        <v>387</v>
      </c>
      <c r="C90" s="97" t="s">
        <v>58</v>
      </c>
      <c r="D90" s="99">
        <v>3090</v>
      </c>
    </row>
    <row r="91" spans="1:4" ht="17.399999999999999">
      <c r="A91" s="95">
        <f t="shared" si="3"/>
        <v>78</v>
      </c>
      <c r="B91" s="85" t="s">
        <v>231</v>
      </c>
      <c r="C91" s="97" t="s">
        <v>58</v>
      </c>
      <c r="D91" s="99">
        <v>4640</v>
      </c>
    </row>
    <row r="92" spans="1:4" ht="17.399999999999999">
      <c r="A92" s="95">
        <f t="shared" si="3"/>
        <v>79</v>
      </c>
      <c r="B92" s="85" t="s">
        <v>519</v>
      </c>
      <c r="C92" s="97" t="s">
        <v>58</v>
      </c>
      <c r="D92" s="99">
        <v>10900</v>
      </c>
    </row>
    <row r="93" spans="1:4" ht="17.399999999999999">
      <c r="A93" s="95">
        <f t="shared" si="3"/>
        <v>80</v>
      </c>
      <c r="B93" s="85" t="s">
        <v>232</v>
      </c>
      <c r="C93" s="97" t="s">
        <v>58</v>
      </c>
      <c r="D93" s="99">
        <v>503.43999999999994</v>
      </c>
    </row>
    <row r="94" spans="1:4" ht="32.4">
      <c r="A94" s="95">
        <f t="shared" si="3"/>
        <v>81</v>
      </c>
      <c r="B94" s="105" t="s">
        <v>491</v>
      </c>
      <c r="C94" s="97" t="s">
        <v>58</v>
      </c>
      <c r="D94" s="98">
        <v>15330.559999999998</v>
      </c>
    </row>
    <row r="95" spans="1:4" ht="32.4">
      <c r="A95" s="95">
        <f t="shared" si="3"/>
        <v>82</v>
      </c>
      <c r="B95" s="105" t="s">
        <v>492</v>
      </c>
      <c r="C95" s="97" t="s">
        <v>58</v>
      </c>
      <c r="D95" s="98">
        <v>11101.439999999999</v>
      </c>
    </row>
    <row r="96" spans="1:4" ht="32.4">
      <c r="A96" s="95">
        <f t="shared" si="3"/>
        <v>83</v>
      </c>
      <c r="B96" s="105" t="s">
        <v>491</v>
      </c>
      <c r="C96" s="97" t="s">
        <v>58</v>
      </c>
      <c r="D96" s="98">
        <v>13216</v>
      </c>
    </row>
    <row r="97" spans="1:4" ht="17.399999999999999">
      <c r="A97" s="95">
        <f t="shared" si="3"/>
        <v>84</v>
      </c>
      <c r="B97" s="105" t="s">
        <v>493</v>
      </c>
      <c r="C97" s="97" t="s">
        <v>58</v>
      </c>
      <c r="D97" s="98">
        <v>9515.5199999999986</v>
      </c>
    </row>
    <row r="98" spans="1:4" ht="32.4">
      <c r="A98" s="95">
        <f t="shared" si="3"/>
        <v>85</v>
      </c>
      <c r="B98" s="105" t="s">
        <v>517</v>
      </c>
      <c r="C98" s="97"/>
      <c r="D98" s="98">
        <v>4493.4399999999996</v>
      </c>
    </row>
    <row r="99" spans="1:4" ht="17.399999999999999">
      <c r="A99" s="95">
        <f t="shared" si="3"/>
        <v>86</v>
      </c>
      <c r="B99" s="85" t="s">
        <v>494</v>
      </c>
      <c r="C99" s="97" t="s">
        <v>58</v>
      </c>
      <c r="D99" s="99">
        <v>3436.16</v>
      </c>
    </row>
    <row r="100" spans="1:4" ht="17.399999999999999">
      <c r="A100" s="95">
        <f t="shared" si="3"/>
        <v>87</v>
      </c>
      <c r="B100" s="85" t="s">
        <v>495</v>
      </c>
      <c r="C100" s="97" t="s">
        <v>58</v>
      </c>
      <c r="D100" s="99">
        <v>3436.16</v>
      </c>
    </row>
    <row r="101" spans="1:4" ht="17.399999999999999">
      <c r="A101" s="95">
        <f t="shared" si="3"/>
        <v>88</v>
      </c>
      <c r="B101" s="85" t="s">
        <v>496</v>
      </c>
      <c r="C101" s="97" t="s">
        <v>58</v>
      </c>
      <c r="D101" s="99">
        <v>1321.6</v>
      </c>
    </row>
    <row r="102" spans="1:4" ht="17.399999999999999">
      <c r="A102" s="95">
        <f t="shared" si="3"/>
        <v>89</v>
      </c>
      <c r="B102" s="85" t="s">
        <v>497</v>
      </c>
      <c r="C102" s="97" t="s">
        <v>58</v>
      </c>
      <c r="D102" s="99">
        <v>3436.16</v>
      </c>
    </row>
    <row r="103" spans="1:4" ht="17.399999999999999">
      <c r="A103" s="95">
        <f t="shared" si="3"/>
        <v>90</v>
      </c>
      <c r="B103" s="85" t="s">
        <v>498</v>
      </c>
      <c r="C103" s="97" t="s">
        <v>58</v>
      </c>
      <c r="D103" s="99">
        <v>2378.8799999999997</v>
      </c>
    </row>
    <row r="104" spans="1:4" ht="17.399999999999999">
      <c r="A104" s="95">
        <f t="shared" si="3"/>
        <v>91</v>
      </c>
      <c r="B104" s="85" t="s">
        <v>498</v>
      </c>
      <c r="C104" s="97" t="s">
        <v>58</v>
      </c>
      <c r="D104" s="99">
        <v>1850.2399999999998</v>
      </c>
    </row>
    <row r="105" spans="1:4" ht="32.4">
      <c r="A105" s="95">
        <f t="shared" si="3"/>
        <v>92</v>
      </c>
      <c r="B105" s="105" t="s">
        <v>499</v>
      </c>
      <c r="C105" s="97" t="s">
        <v>58</v>
      </c>
      <c r="D105" s="99">
        <v>6079.3599999999988</v>
      </c>
    </row>
    <row r="106" spans="1:4" ht="32.4">
      <c r="A106" s="95">
        <f t="shared" si="3"/>
        <v>93</v>
      </c>
      <c r="B106" s="105" t="s">
        <v>500</v>
      </c>
      <c r="C106" s="97" t="s">
        <v>58</v>
      </c>
      <c r="D106" s="99">
        <v>3171.8399999999997</v>
      </c>
    </row>
    <row r="107" spans="1:4" ht="32.4">
      <c r="A107" s="95">
        <f t="shared" si="3"/>
        <v>94</v>
      </c>
      <c r="B107" s="105" t="s">
        <v>500</v>
      </c>
      <c r="C107" s="97" t="s">
        <v>58</v>
      </c>
      <c r="D107" s="99">
        <v>2378.8799999999997</v>
      </c>
    </row>
    <row r="108" spans="1:4" ht="17.399999999999999">
      <c r="A108" s="95">
        <f t="shared" si="3"/>
        <v>95</v>
      </c>
      <c r="B108" s="105" t="s">
        <v>405</v>
      </c>
      <c r="C108" s="97" t="s">
        <v>58</v>
      </c>
      <c r="D108" s="106">
        <v>348</v>
      </c>
    </row>
    <row r="109" spans="1:4" ht="17.399999999999999">
      <c r="A109" s="95">
        <f t="shared" si="3"/>
        <v>96</v>
      </c>
      <c r="B109" s="105" t="s">
        <v>294</v>
      </c>
      <c r="C109" s="97" t="s">
        <v>58</v>
      </c>
      <c r="D109" s="106">
        <v>3601.16</v>
      </c>
    </row>
    <row r="110" spans="1:4" ht="17.399999999999999">
      <c r="A110" s="95">
        <f t="shared" si="3"/>
        <v>97</v>
      </c>
      <c r="B110" s="103" t="s">
        <v>520</v>
      </c>
      <c r="C110" s="97" t="s">
        <v>58</v>
      </c>
      <c r="D110" s="99">
        <v>5286.4</v>
      </c>
    </row>
    <row r="111" spans="1:4" ht="17.399999999999999">
      <c r="A111" s="95">
        <f t="shared" si="3"/>
        <v>98</v>
      </c>
      <c r="B111" s="85" t="s">
        <v>501</v>
      </c>
      <c r="C111" s="97" t="s">
        <v>58</v>
      </c>
      <c r="D111" s="99">
        <v>3350</v>
      </c>
    </row>
    <row r="112" spans="1:4" ht="17.399999999999999">
      <c r="A112" s="95">
        <f t="shared" si="3"/>
        <v>99</v>
      </c>
      <c r="B112" s="85" t="s">
        <v>502</v>
      </c>
      <c r="C112" s="97" t="s">
        <v>58</v>
      </c>
      <c r="D112" s="99">
        <v>914.5</v>
      </c>
    </row>
    <row r="113" spans="1:4" ht="17.399999999999999">
      <c r="A113" s="95">
        <f t="shared" si="3"/>
        <v>100</v>
      </c>
      <c r="B113" s="85" t="s">
        <v>233</v>
      </c>
      <c r="C113" s="97" t="s">
        <v>58</v>
      </c>
      <c r="D113" s="99">
        <v>6000</v>
      </c>
    </row>
    <row r="114" spans="1:4" ht="17.399999999999999">
      <c r="A114" s="95">
        <f t="shared" si="3"/>
        <v>101</v>
      </c>
      <c r="B114" s="85" t="s">
        <v>234</v>
      </c>
      <c r="C114" s="97" t="s">
        <v>58</v>
      </c>
      <c r="D114" s="99">
        <v>32756.474399999996</v>
      </c>
    </row>
    <row r="115" spans="1:4" ht="17.399999999999999">
      <c r="A115" s="95">
        <f t="shared" si="3"/>
        <v>102</v>
      </c>
      <c r="B115" s="85" t="s">
        <v>235</v>
      </c>
      <c r="C115" s="97" t="s">
        <v>58</v>
      </c>
      <c r="D115" s="99">
        <v>12133.368</v>
      </c>
    </row>
    <row r="116" spans="1:4" ht="17.399999999999999">
      <c r="A116" s="95">
        <f t="shared" si="3"/>
        <v>103</v>
      </c>
      <c r="B116" s="96" t="s">
        <v>432</v>
      </c>
      <c r="C116" s="97" t="s">
        <v>58</v>
      </c>
      <c r="D116" s="98">
        <v>6216</v>
      </c>
    </row>
    <row r="117" spans="1:4" ht="17.399999999999999">
      <c r="A117" s="95">
        <f t="shared" si="3"/>
        <v>104</v>
      </c>
      <c r="B117" s="85" t="s">
        <v>522</v>
      </c>
      <c r="C117" s="97" t="s">
        <v>58</v>
      </c>
      <c r="D117" s="99">
        <v>3436.16</v>
      </c>
    </row>
    <row r="118" spans="1:4" ht="17.399999999999999">
      <c r="A118" s="95">
        <f t="shared" si="3"/>
        <v>105</v>
      </c>
      <c r="B118" s="85" t="s">
        <v>102</v>
      </c>
      <c r="C118" s="97" t="s">
        <v>58</v>
      </c>
      <c r="D118" s="99">
        <v>3500</v>
      </c>
    </row>
    <row r="119" spans="1:4" ht="17.399999999999999">
      <c r="A119" s="95">
        <f t="shared" si="3"/>
        <v>106</v>
      </c>
      <c r="B119" s="85" t="s">
        <v>103</v>
      </c>
      <c r="C119" s="97" t="s">
        <v>58</v>
      </c>
      <c r="D119" s="99">
        <v>600</v>
      </c>
    </row>
    <row r="120" spans="1:4" ht="17.399999999999999">
      <c r="A120" s="95">
        <f t="shared" si="3"/>
        <v>107</v>
      </c>
      <c r="B120" s="103" t="s">
        <v>236</v>
      </c>
      <c r="C120" s="97" t="s">
        <v>58</v>
      </c>
      <c r="D120" s="99">
        <v>850</v>
      </c>
    </row>
    <row r="121" spans="1:4" ht="17.399999999999999">
      <c r="A121" s="95">
        <f t="shared" si="3"/>
        <v>108</v>
      </c>
      <c r="B121" s="85" t="s">
        <v>104</v>
      </c>
      <c r="C121" s="97" t="s">
        <v>58</v>
      </c>
      <c r="D121" s="99">
        <v>3500</v>
      </c>
    </row>
    <row r="122" spans="1:4" ht="17.399999999999999">
      <c r="A122" s="95">
        <f t="shared" si="3"/>
        <v>109</v>
      </c>
      <c r="B122" s="85" t="s">
        <v>295</v>
      </c>
      <c r="C122" s="97" t="s">
        <v>58</v>
      </c>
      <c r="D122" s="99">
        <v>481</v>
      </c>
    </row>
    <row r="123" spans="1:4" ht="17.399999999999999">
      <c r="A123" s="95">
        <f t="shared" si="3"/>
        <v>110</v>
      </c>
      <c r="B123" s="100" t="s">
        <v>105</v>
      </c>
      <c r="C123" s="97" t="s">
        <v>58</v>
      </c>
      <c r="D123" s="99">
        <v>200000</v>
      </c>
    </row>
    <row r="124" spans="1:4" ht="17.399999999999999">
      <c r="A124" s="95">
        <f t="shared" si="3"/>
        <v>111</v>
      </c>
      <c r="B124" s="85" t="s">
        <v>106</v>
      </c>
      <c r="C124" s="97" t="s">
        <v>58</v>
      </c>
      <c r="D124" s="99">
        <v>2030</v>
      </c>
    </row>
    <row r="125" spans="1:4" ht="17.399999999999999">
      <c r="A125" s="95">
        <f t="shared" si="3"/>
        <v>112</v>
      </c>
      <c r="B125" s="85" t="s">
        <v>107</v>
      </c>
      <c r="C125" s="97" t="s">
        <v>58</v>
      </c>
      <c r="D125" s="99">
        <v>245</v>
      </c>
    </row>
    <row r="126" spans="1:4" ht="17.399999999999999">
      <c r="A126" s="95">
        <f t="shared" si="3"/>
        <v>113</v>
      </c>
      <c r="B126" s="85" t="s">
        <v>237</v>
      </c>
      <c r="C126" s="97" t="s">
        <v>58</v>
      </c>
      <c r="D126" s="106">
        <v>3400</v>
      </c>
    </row>
    <row r="127" spans="1:4" ht="17.399999999999999">
      <c r="A127" s="95">
        <f t="shared" si="3"/>
        <v>114</v>
      </c>
      <c r="B127" s="85" t="s">
        <v>238</v>
      </c>
      <c r="C127" s="97" t="s">
        <v>58</v>
      </c>
      <c r="D127" s="106">
        <v>1800</v>
      </c>
    </row>
    <row r="128" spans="1:4" ht="32.4">
      <c r="A128" s="95">
        <f t="shared" si="3"/>
        <v>115</v>
      </c>
      <c r="B128" s="105" t="s">
        <v>488</v>
      </c>
      <c r="C128" s="97" t="s">
        <v>58</v>
      </c>
      <c r="D128" s="99">
        <v>3800</v>
      </c>
    </row>
    <row r="129" spans="1:4" ht="18" thickBot="1">
      <c r="A129" s="95"/>
      <c r="B129" s="85"/>
      <c r="C129" s="97"/>
      <c r="D129" s="106"/>
    </row>
    <row r="130" spans="1:4" ht="16.8" thickBot="1">
      <c r="A130" s="445" t="s">
        <v>569</v>
      </c>
      <c r="B130" s="446"/>
      <c r="C130" s="447"/>
      <c r="D130" s="129"/>
    </row>
    <row r="131" spans="1:4" ht="17.399999999999999">
      <c r="A131" s="104">
        <f>A128+1</f>
        <v>116</v>
      </c>
      <c r="B131" s="85" t="s">
        <v>92</v>
      </c>
      <c r="C131" s="97" t="s">
        <v>58</v>
      </c>
      <c r="D131" s="99">
        <v>195</v>
      </c>
    </row>
    <row r="132" spans="1:4" ht="17.399999999999999">
      <c r="A132" s="104">
        <f t="shared" ref="A132:A145" si="4">A131+1</f>
        <v>117</v>
      </c>
      <c r="B132" s="85" t="s">
        <v>93</v>
      </c>
      <c r="C132" s="97" t="s">
        <v>58</v>
      </c>
      <c r="D132" s="99">
        <v>120</v>
      </c>
    </row>
    <row r="133" spans="1:4" ht="17.399999999999999">
      <c r="A133" s="104">
        <f t="shared" si="4"/>
        <v>118</v>
      </c>
      <c r="B133" s="85" t="s">
        <v>224</v>
      </c>
      <c r="C133" s="97" t="s">
        <v>58</v>
      </c>
      <c r="D133" s="99">
        <v>450</v>
      </c>
    </row>
    <row r="134" spans="1:4" ht="17.399999999999999">
      <c r="A134" s="104">
        <f t="shared" si="4"/>
        <v>119</v>
      </c>
      <c r="B134" s="85" t="s">
        <v>95</v>
      </c>
      <c r="C134" s="97" t="s">
        <v>58</v>
      </c>
      <c r="D134" s="99">
        <v>1757</v>
      </c>
    </row>
    <row r="135" spans="1:4" ht="17.399999999999999">
      <c r="A135" s="104">
        <f t="shared" si="4"/>
        <v>120</v>
      </c>
      <c r="B135" s="85" t="s">
        <v>394</v>
      </c>
      <c r="C135" s="97" t="s">
        <v>58</v>
      </c>
      <c r="D135" s="99">
        <v>318.59999999999997</v>
      </c>
    </row>
    <row r="136" spans="1:4" ht="17.399999999999999">
      <c r="A136" s="104">
        <f t="shared" si="4"/>
        <v>121</v>
      </c>
      <c r="B136" s="85" t="s">
        <v>508</v>
      </c>
      <c r="C136" s="97" t="s">
        <v>58</v>
      </c>
      <c r="D136" s="99">
        <v>1823.1</v>
      </c>
    </row>
    <row r="137" spans="1:4" ht="17.399999999999999">
      <c r="A137" s="104">
        <f t="shared" si="4"/>
        <v>122</v>
      </c>
      <c r="B137" s="85" t="s">
        <v>93</v>
      </c>
      <c r="C137" s="97" t="s">
        <v>58</v>
      </c>
      <c r="D137" s="99">
        <v>370.03999999999996</v>
      </c>
    </row>
    <row r="138" spans="1:4" ht="17.399999999999999">
      <c r="A138" s="104">
        <f t="shared" si="4"/>
        <v>123</v>
      </c>
      <c r="B138" s="85" t="s">
        <v>409</v>
      </c>
      <c r="C138" s="97" t="s">
        <v>58</v>
      </c>
      <c r="D138" s="99">
        <v>371.66460000000001</v>
      </c>
    </row>
    <row r="139" spans="1:4" ht="17.399999999999999">
      <c r="A139" s="104">
        <f t="shared" si="4"/>
        <v>124</v>
      </c>
      <c r="B139" s="85" t="s">
        <v>92</v>
      </c>
      <c r="C139" s="97" t="s">
        <v>58</v>
      </c>
      <c r="D139" s="99">
        <v>338</v>
      </c>
    </row>
    <row r="140" spans="1:4" ht="17.399999999999999">
      <c r="A140" s="104">
        <f t="shared" si="4"/>
        <v>125</v>
      </c>
      <c r="B140" s="85" t="s">
        <v>410</v>
      </c>
      <c r="C140" s="97" t="s">
        <v>58</v>
      </c>
      <c r="D140" s="99">
        <v>613.54100000000005</v>
      </c>
    </row>
    <row r="141" spans="1:4" ht="17.399999999999999">
      <c r="A141" s="104">
        <f t="shared" si="4"/>
        <v>126</v>
      </c>
      <c r="B141" s="85" t="s">
        <v>526</v>
      </c>
      <c r="C141" s="97" t="s">
        <v>58</v>
      </c>
      <c r="D141" s="99">
        <v>731.54100000000005</v>
      </c>
    </row>
    <row r="142" spans="1:4" ht="17.399999999999999">
      <c r="A142" s="104">
        <f t="shared" si="4"/>
        <v>127</v>
      </c>
      <c r="B142" s="85" t="s">
        <v>96</v>
      </c>
      <c r="C142" s="97" t="s">
        <v>58</v>
      </c>
      <c r="D142" s="99">
        <v>701.83479999999997</v>
      </c>
    </row>
    <row r="143" spans="1:4" ht="17.399999999999999">
      <c r="A143" s="104">
        <f t="shared" si="4"/>
        <v>128</v>
      </c>
      <c r="B143" s="85" t="s">
        <v>411</v>
      </c>
      <c r="C143" s="97" t="s">
        <v>58</v>
      </c>
      <c r="D143" s="99">
        <v>900</v>
      </c>
    </row>
    <row r="144" spans="1:4" ht="17.399999999999999">
      <c r="A144" s="104">
        <f t="shared" si="4"/>
        <v>129</v>
      </c>
      <c r="B144" s="85" t="s">
        <v>398</v>
      </c>
      <c r="C144" s="97" t="s">
        <v>58</v>
      </c>
      <c r="D144" s="99">
        <v>1941.1</v>
      </c>
    </row>
    <row r="145" spans="1:4" ht="17.399999999999999">
      <c r="A145" s="104">
        <f t="shared" si="4"/>
        <v>130</v>
      </c>
      <c r="B145" s="85" t="s">
        <v>225</v>
      </c>
      <c r="C145" s="97" t="s">
        <v>58</v>
      </c>
      <c r="D145" s="99">
        <v>7853.2</v>
      </c>
    </row>
    <row r="146" spans="1:4" ht="18" thickBot="1">
      <c r="A146" s="95"/>
      <c r="B146" s="105"/>
      <c r="C146" s="97"/>
      <c r="D146" s="98"/>
    </row>
    <row r="147" spans="1:4" ht="16.8" thickBot="1">
      <c r="A147" s="445" t="s">
        <v>48</v>
      </c>
      <c r="B147" s="446"/>
      <c r="C147" s="447"/>
      <c r="D147" s="129"/>
    </row>
    <row r="148" spans="1:4" ht="17.399999999999999">
      <c r="A148" s="104">
        <f>A145+1</f>
        <v>131</v>
      </c>
      <c r="B148" s="102" t="s">
        <v>85</v>
      </c>
      <c r="C148" s="97" t="s">
        <v>73</v>
      </c>
      <c r="D148" s="99">
        <v>1799</v>
      </c>
    </row>
    <row r="149" spans="1:4" ht="17.399999999999999">
      <c r="A149" s="104">
        <f>A148+1</f>
        <v>132</v>
      </c>
      <c r="B149" s="85" t="s">
        <v>2</v>
      </c>
      <c r="C149" s="97" t="s">
        <v>58</v>
      </c>
      <c r="D149" s="99">
        <v>14.73</v>
      </c>
    </row>
    <row r="150" spans="1:4" s="16" customFormat="1" ht="17.399999999999999">
      <c r="A150" s="104">
        <f t="shared" ref="A150:A158" si="5">A149+1</f>
        <v>133</v>
      </c>
      <c r="B150" s="85" t="s">
        <v>3</v>
      </c>
      <c r="C150" s="97" t="s">
        <v>58</v>
      </c>
      <c r="D150" s="99">
        <v>8.93</v>
      </c>
    </row>
    <row r="151" spans="1:4" ht="17.399999999999999">
      <c r="A151" s="104">
        <f t="shared" si="5"/>
        <v>134</v>
      </c>
      <c r="B151" s="85" t="s">
        <v>5</v>
      </c>
      <c r="C151" s="97" t="s">
        <v>58</v>
      </c>
      <c r="D151" s="99">
        <v>4.75</v>
      </c>
    </row>
    <row r="152" spans="1:4" ht="17.399999999999999">
      <c r="A152" s="104">
        <f t="shared" si="5"/>
        <v>135</v>
      </c>
      <c r="B152" s="85" t="s">
        <v>6</v>
      </c>
      <c r="C152" s="97" t="s">
        <v>58</v>
      </c>
      <c r="D152" s="99">
        <v>44.08</v>
      </c>
    </row>
    <row r="153" spans="1:4" ht="17.399999999999999">
      <c r="A153" s="104">
        <f t="shared" si="5"/>
        <v>136</v>
      </c>
      <c r="B153" s="85" t="s">
        <v>7</v>
      </c>
      <c r="C153" s="97" t="s">
        <v>58</v>
      </c>
      <c r="D153" s="99">
        <v>143.84</v>
      </c>
    </row>
    <row r="154" spans="1:4" ht="17.399999999999999">
      <c r="A154" s="104">
        <f t="shared" si="5"/>
        <v>137</v>
      </c>
      <c r="B154" s="85" t="s">
        <v>89</v>
      </c>
      <c r="C154" s="97" t="s">
        <v>58</v>
      </c>
      <c r="D154" s="99">
        <v>140</v>
      </c>
    </row>
    <row r="155" spans="1:4" ht="17.399999999999999">
      <c r="A155" s="104">
        <f t="shared" si="5"/>
        <v>138</v>
      </c>
      <c r="B155" s="85" t="s">
        <v>90</v>
      </c>
      <c r="C155" s="97" t="s">
        <v>58</v>
      </c>
      <c r="D155" s="99">
        <v>140</v>
      </c>
    </row>
    <row r="156" spans="1:4" ht="17.399999999999999">
      <c r="A156" s="104">
        <f t="shared" si="5"/>
        <v>139</v>
      </c>
      <c r="B156" s="85" t="s">
        <v>8</v>
      </c>
      <c r="C156" s="97" t="s">
        <v>58</v>
      </c>
      <c r="D156" s="99">
        <v>11.715999999999999</v>
      </c>
    </row>
    <row r="157" spans="1:4" ht="17.399999999999999">
      <c r="A157" s="104">
        <f t="shared" si="5"/>
        <v>140</v>
      </c>
      <c r="B157" s="103" t="s">
        <v>11</v>
      </c>
      <c r="C157" s="97" t="s">
        <v>58</v>
      </c>
      <c r="D157" s="99">
        <v>50</v>
      </c>
    </row>
    <row r="158" spans="1:4" ht="18.75" customHeight="1">
      <c r="A158" s="104">
        <f t="shared" si="5"/>
        <v>141</v>
      </c>
      <c r="B158" s="85" t="s">
        <v>18</v>
      </c>
      <c r="C158" s="97" t="s">
        <v>58</v>
      </c>
      <c r="D158" s="99">
        <v>50</v>
      </c>
    </row>
    <row r="159" spans="1:4" ht="18.75" customHeight="1">
      <c r="A159" s="104">
        <f t="shared" ref="A159:A180" si="6">A158+1</f>
        <v>142</v>
      </c>
      <c r="B159" s="85" t="s">
        <v>37</v>
      </c>
      <c r="C159" s="97" t="s">
        <v>58</v>
      </c>
      <c r="D159" s="99">
        <v>179.92</v>
      </c>
    </row>
    <row r="160" spans="1:4" ht="17.399999999999999">
      <c r="A160" s="104">
        <f t="shared" si="6"/>
        <v>143</v>
      </c>
      <c r="B160" s="103" t="s">
        <v>14</v>
      </c>
      <c r="C160" s="97" t="s">
        <v>58</v>
      </c>
      <c r="D160" s="99">
        <v>1.17</v>
      </c>
    </row>
    <row r="161" spans="1:4" ht="17.399999999999999">
      <c r="A161" s="104">
        <f t="shared" si="6"/>
        <v>144</v>
      </c>
      <c r="B161" s="103" t="s">
        <v>15</v>
      </c>
      <c r="C161" s="97" t="s">
        <v>58</v>
      </c>
      <c r="D161" s="99">
        <v>1.97</v>
      </c>
    </row>
    <row r="162" spans="1:4" ht="17.399999999999999">
      <c r="A162" s="104">
        <f t="shared" si="6"/>
        <v>145</v>
      </c>
      <c r="B162" s="85" t="s">
        <v>44</v>
      </c>
      <c r="C162" s="97" t="s">
        <v>58</v>
      </c>
      <c r="D162" s="99">
        <v>3.2955000000000001</v>
      </c>
    </row>
    <row r="163" spans="1:4" ht="17.399999999999999">
      <c r="A163" s="104">
        <f t="shared" si="6"/>
        <v>146</v>
      </c>
      <c r="B163" s="85" t="s">
        <v>22</v>
      </c>
      <c r="C163" s="97" t="s">
        <v>58</v>
      </c>
      <c r="D163" s="99">
        <v>45</v>
      </c>
    </row>
    <row r="164" spans="1:4" ht="17.399999999999999">
      <c r="A164" s="104">
        <f t="shared" si="6"/>
        <v>147</v>
      </c>
      <c r="B164" s="85" t="s">
        <v>308</v>
      </c>
      <c r="C164" s="97" t="s">
        <v>58</v>
      </c>
      <c r="D164" s="99">
        <v>51.749999999999993</v>
      </c>
    </row>
    <row r="165" spans="1:4" ht="17.399999999999999">
      <c r="A165" s="104">
        <f t="shared" si="6"/>
        <v>148</v>
      </c>
      <c r="B165" s="105" t="s">
        <v>425</v>
      </c>
      <c r="C165" s="97" t="s">
        <v>58</v>
      </c>
      <c r="D165" s="99">
        <f>23388*1.2</f>
        <v>28065.599999999999</v>
      </c>
    </row>
    <row r="166" spans="1:4" ht="17.399999999999999">
      <c r="A166" s="104">
        <f t="shared" si="6"/>
        <v>149</v>
      </c>
      <c r="B166" s="105" t="s">
        <v>285</v>
      </c>
      <c r="C166" s="97" t="s">
        <v>54</v>
      </c>
      <c r="D166" s="99">
        <f>17591*1.18</f>
        <v>20757.379999999997</v>
      </c>
    </row>
    <row r="167" spans="1:4" ht="17.399999999999999">
      <c r="A167" s="104">
        <f t="shared" si="6"/>
        <v>150</v>
      </c>
      <c r="B167" s="105" t="s">
        <v>478</v>
      </c>
      <c r="C167" s="97" t="s">
        <v>58</v>
      </c>
      <c r="D167" s="99">
        <f>4661.02*1.18</f>
        <v>5500.0036</v>
      </c>
    </row>
    <row r="168" spans="1:4" ht="17.399999999999999">
      <c r="A168" s="104">
        <f t="shared" si="6"/>
        <v>151</v>
      </c>
      <c r="B168" s="105" t="s">
        <v>485</v>
      </c>
      <c r="C168" s="97" t="s">
        <v>58</v>
      </c>
      <c r="D168" s="99">
        <v>16.170000000000002</v>
      </c>
    </row>
    <row r="169" spans="1:4" ht="17.399999999999999">
      <c r="A169" s="104">
        <f t="shared" si="6"/>
        <v>152</v>
      </c>
      <c r="B169" s="105" t="s">
        <v>533</v>
      </c>
      <c r="C169" s="97" t="s">
        <v>58</v>
      </c>
      <c r="D169" s="99">
        <v>22000</v>
      </c>
    </row>
    <row r="170" spans="1:4" ht="17.399999999999999">
      <c r="A170" s="104">
        <f t="shared" si="6"/>
        <v>153</v>
      </c>
      <c r="B170" s="105" t="s">
        <v>386</v>
      </c>
      <c r="C170" s="97" t="s">
        <v>62</v>
      </c>
      <c r="D170" s="99">
        <f>88.2*3.28</f>
        <v>289.29599999999999</v>
      </c>
    </row>
    <row r="171" spans="1:4" ht="17.399999999999999">
      <c r="A171" s="104">
        <f t="shared" si="6"/>
        <v>154</v>
      </c>
      <c r="B171" s="105" t="s">
        <v>318</v>
      </c>
      <c r="C171" s="97" t="s">
        <v>58</v>
      </c>
      <c r="D171" s="99">
        <v>242.30079999999998</v>
      </c>
    </row>
    <row r="172" spans="1:4" ht="17.399999999999999">
      <c r="A172" s="104">
        <f t="shared" si="6"/>
        <v>155</v>
      </c>
      <c r="B172" s="85" t="s">
        <v>286</v>
      </c>
      <c r="C172" s="97" t="s">
        <v>63</v>
      </c>
      <c r="D172" s="99">
        <f>225*10.76</f>
        <v>2421</v>
      </c>
    </row>
    <row r="173" spans="1:4" ht="17.399999999999999">
      <c r="A173" s="104">
        <f t="shared" si="6"/>
        <v>156</v>
      </c>
      <c r="B173" s="105" t="s">
        <v>572</v>
      </c>
      <c r="C173" s="97" t="s">
        <v>58</v>
      </c>
      <c r="D173" s="99">
        <v>2383.7999999999997</v>
      </c>
    </row>
    <row r="174" spans="1:4" ht="17.399999999999999">
      <c r="A174" s="104">
        <f t="shared" si="6"/>
        <v>157</v>
      </c>
      <c r="B174" s="105" t="s">
        <v>298</v>
      </c>
      <c r="C174" s="97" t="s">
        <v>58</v>
      </c>
      <c r="D174" s="99">
        <v>3794.3599999999997</v>
      </c>
    </row>
    <row r="175" spans="1:4" ht="32.4">
      <c r="A175" s="104">
        <f t="shared" si="6"/>
        <v>158</v>
      </c>
      <c r="B175" s="105" t="s">
        <v>573</v>
      </c>
      <c r="C175" s="97" t="s">
        <v>58</v>
      </c>
      <c r="D175" s="99">
        <v>18000</v>
      </c>
    </row>
    <row r="176" spans="1:4" ht="32.4">
      <c r="A176" s="104">
        <f t="shared" si="6"/>
        <v>159</v>
      </c>
      <c r="B176" s="105" t="s">
        <v>574</v>
      </c>
      <c r="C176" s="97" t="s">
        <v>58</v>
      </c>
      <c r="D176" s="99">
        <v>15000</v>
      </c>
    </row>
    <row r="177" spans="1:4" ht="32.4">
      <c r="A177" s="104">
        <f t="shared" si="6"/>
        <v>160</v>
      </c>
      <c r="B177" s="105" t="s">
        <v>575</v>
      </c>
      <c r="C177" s="97" t="s">
        <v>58</v>
      </c>
      <c r="D177" s="99">
        <v>15000</v>
      </c>
    </row>
    <row r="178" spans="1:4" ht="17.399999999999999">
      <c r="A178" s="104">
        <f t="shared" si="6"/>
        <v>161</v>
      </c>
      <c r="B178" s="85" t="s">
        <v>94</v>
      </c>
      <c r="C178" s="97" t="s">
        <v>58</v>
      </c>
      <c r="D178" s="99">
        <v>152</v>
      </c>
    </row>
    <row r="179" spans="1:4" ht="17.399999999999999">
      <c r="A179" s="104">
        <f t="shared" si="6"/>
        <v>162</v>
      </c>
      <c r="B179" s="85" t="s">
        <v>696</v>
      </c>
      <c r="C179" s="97" t="s">
        <v>58</v>
      </c>
      <c r="D179" s="99">
        <v>125</v>
      </c>
    </row>
    <row r="180" spans="1:4" ht="17.399999999999999">
      <c r="A180" s="104">
        <f t="shared" si="6"/>
        <v>163</v>
      </c>
      <c r="B180" s="85" t="s">
        <v>484</v>
      </c>
      <c r="C180" s="97" t="s">
        <v>58</v>
      </c>
      <c r="D180" s="99">
        <v>146.28</v>
      </c>
    </row>
    <row r="181" spans="1:4">
      <c r="A181" s="89"/>
      <c r="B181" s="89"/>
      <c r="C181" s="89"/>
    </row>
  </sheetData>
  <protectedRanges>
    <protectedRange sqref="D171" name="Rango2"/>
  </protectedRanges>
  <mergeCells count="8">
    <mergeCell ref="A2:D2"/>
    <mergeCell ref="A5:C5"/>
    <mergeCell ref="A25:C25"/>
    <mergeCell ref="A147:C147"/>
    <mergeCell ref="A130:C130"/>
    <mergeCell ref="A78:C78"/>
    <mergeCell ref="A55:C55"/>
    <mergeCell ref="A68:C68"/>
  </mergeCells>
  <pageMargins left="0.39370078740157483" right="0.23622047244094491" top="0.98425196850393704" bottom="0.55118110236220474" header="0.51181102362204722" footer="0.31496062992125984"/>
  <pageSetup scale="80" orientation="portrait" r:id="rId1"/>
  <headerFooter alignWithMargins="0">
    <oddFooter>&amp;L&amp;P/&amp;N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2"/>
  <sheetViews>
    <sheetView view="pageBreakPreview" topLeftCell="A169" zoomScale="73" zoomScaleNormal="100" zoomScaleSheetLayoutView="73" workbookViewId="0">
      <pane ySplit="2196" activePane="bottomLeft"/>
      <selection activeCell="J185" sqref="J185"/>
      <selection pane="bottomLeft"/>
    </sheetView>
  </sheetViews>
  <sheetFormatPr defaultColWidth="11.44140625" defaultRowHeight="18.600000000000001"/>
  <cols>
    <col min="1" max="1" width="11.44140625" style="3"/>
    <col min="2" max="2" width="73.88671875" style="52" customWidth="1"/>
    <col min="3" max="3" width="13.44140625" style="17" customWidth="1"/>
    <col min="4" max="4" width="15.44140625" style="52" customWidth="1"/>
    <col min="5" max="245" width="11.44140625" style="3"/>
    <col min="246" max="246" width="73.88671875" style="3" customWidth="1"/>
    <col min="247" max="247" width="11.44140625" style="3"/>
    <col min="248" max="248" width="14" style="3" customWidth="1"/>
    <col min="249" max="249" width="11.44140625" style="3"/>
    <col min="250" max="250" width="29.33203125" style="3" customWidth="1"/>
    <col min="251" max="501" width="11.44140625" style="3"/>
    <col min="502" max="502" width="73.88671875" style="3" customWidth="1"/>
    <col min="503" max="503" width="11.44140625" style="3"/>
    <col min="504" max="504" width="14" style="3" customWidth="1"/>
    <col min="505" max="505" width="11.44140625" style="3"/>
    <col min="506" max="506" width="29.33203125" style="3" customWidth="1"/>
    <col min="507" max="757" width="11.44140625" style="3"/>
    <col min="758" max="758" width="73.88671875" style="3" customWidth="1"/>
    <col min="759" max="759" width="11.44140625" style="3"/>
    <col min="760" max="760" width="14" style="3" customWidth="1"/>
    <col min="761" max="761" width="11.44140625" style="3"/>
    <col min="762" max="762" width="29.33203125" style="3" customWidth="1"/>
    <col min="763" max="1013" width="11.44140625" style="3"/>
    <col min="1014" max="1014" width="73.88671875" style="3" customWidth="1"/>
    <col min="1015" max="1015" width="11.44140625" style="3"/>
    <col min="1016" max="1016" width="14" style="3" customWidth="1"/>
    <col min="1017" max="1017" width="11.44140625" style="3"/>
    <col min="1018" max="1018" width="29.33203125" style="3" customWidth="1"/>
    <col min="1019" max="1269" width="11.44140625" style="3"/>
    <col min="1270" max="1270" width="73.88671875" style="3" customWidth="1"/>
    <col min="1271" max="1271" width="11.44140625" style="3"/>
    <col min="1272" max="1272" width="14" style="3" customWidth="1"/>
    <col min="1273" max="1273" width="11.44140625" style="3"/>
    <col min="1274" max="1274" width="29.33203125" style="3" customWidth="1"/>
    <col min="1275" max="1525" width="11.44140625" style="3"/>
    <col min="1526" max="1526" width="73.88671875" style="3" customWidth="1"/>
    <col min="1527" max="1527" width="11.44140625" style="3"/>
    <col min="1528" max="1528" width="14" style="3" customWidth="1"/>
    <col min="1529" max="1529" width="11.44140625" style="3"/>
    <col min="1530" max="1530" width="29.33203125" style="3" customWidth="1"/>
    <col min="1531" max="1781" width="11.44140625" style="3"/>
    <col min="1782" max="1782" width="73.88671875" style="3" customWidth="1"/>
    <col min="1783" max="1783" width="11.44140625" style="3"/>
    <col min="1784" max="1784" width="14" style="3" customWidth="1"/>
    <col min="1785" max="1785" width="11.44140625" style="3"/>
    <col min="1786" max="1786" width="29.33203125" style="3" customWidth="1"/>
    <col min="1787" max="2037" width="11.44140625" style="3"/>
    <col min="2038" max="2038" width="73.88671875" style="3" customWidth="1"/>
    <col min="2039" max="2039" width="11.44140625" style="3"/>
    <col min="2040" max="2040" width="14" style="3" customWidth="1"/>
    <col min="2041" max="2041" width="11.44140625" style="3"/>
    <col min="2042" max="2042" width="29.33203125" style="3" customWidth="1"/>
    <col min="2043" max="2293" width="11.44140625" style="3"/>
    <col min="2294" max="2294" width="73.88671875" style="3" customWidth="1"/>
    <col min="2295" max="2295" width="11.44140625" style="3"/>
    <col min="2296" max="2296" width="14" style="3" customWidth="1"/>
    <col min="2297" max="2297" width="11.44140625" style="3"/>
    <col min="2298" max="2298" width="29.33203125" style="3" customWidth="1"/>
    <col min="2299" max="2549" width="11.44140625" style="3"/>
    <col min="2550" max="2550" width="73.88671875" style="3" customWidth="1"/>
    <col min="2551" max="2551" width="11.44140625" style="3"/>
    <col min="2552" max="2552" width="14" style="3" customWidth="1"/>
    <col min="2553" max="2553" width="11.44140625" style="3"/>
    <col min="2554" max="2554" width="29.33203125" style="3" customWidth="1"/>
    <col min="2555" max="2805" width="11.44140625" style="3"/>
    <col min="2806" max="2806" width="73.88671875" style="3" customWidth="1"/>
    <col min="2807" max="2807" width="11.44140625" style="3"/>
    <col min="2808" max="2808" width="14" style="3" customWidth="1"/>
    <col min="2809" max="2809" width="11.44140625" style="3"/>
    <col min="2810" max="2810" width="29.33203125" style="3" customWidth="1"/>
    <col min="2811" max="3061" width="11.44140625" style="3"/>
    <col min="3062" max="3062" width="73.88671875" style="3" customWidth="1"/>
    <col min="3063" max="3063" width="11.44140625" style="3"/>
    <col min="3064" max="3064" width="14" style="3" customWidth="1"/>
    <col min="3065" max="3065" width="11.44140625" style="3"/>
    <col min="3066" max="3066" width="29.33203125" style="3" customWidth="1"/>
    <col min="3067" max="3317" width="11.44140625" style="3"/>
    <col min="3318" max="3318" width="73.88671875" style="3" customWidth="1"/>
    <col min="3319" max="3319" width="11.44140625" style="3"/>
    <col min="3320" max="3320" width="14" style="3" customWidth="1"/>
    <col min="3321" max="3321" width="11.44140625" style="3"/>
    <col min="3322" max="3322" width="29.33203125" style="3" customWidth="1"/>
    <col min="3323" max="3573" width="11.44140625" style="3"/>
    <col min="3574" max="3574" width="73.88671875" style="3" customWidth="1"/>
    <col min="3575" max="3575" width="11.44140625" style="3"/>
    <col min="3576" max="3576" width="14" style="3" customWidth="1"/>
    <col min="3577" max="3577" width="11.44140625" style="3"/>
    <col min="3578" max="3578" width="29.33203125" style="3" customWidth="1"/>
    <col min="3579" max="3829" width="11.44140625" style="3"/>
    <col min="3830" max="3830" width="73.88671875" style="3" customWidth="1"/>
    <col min="3831" max="3831" width="11.44140625" style="3"/>
    <col min="3832" max="3832" width="14" style="3" customWidth="1"/>
    <col min="3833" max="3833" width="11.44140625" style="3"/>
    <col min="3834" max="3834" width="29.33203125" style="3" customWidth="1"/>
    <col min="3835" max="4085" width="11.44140625" style="3"/>
    <col min="4086" max="4086" width="73.88671875" style="3" customWidth="1"/>
    <col min="4087" max="4087" width="11.44140625" style="3"/>
    <col min="4088" max="4088" width="14" style="3" customWidth="1"/>
    <col min="4089" max="4089" width="11.44140625" style="3"/>
    <col min="4090" max="4090" width="29.33203125" style="3" customWidth="1"/>
    <col min="4091" max="4341" width="11.44140625" style="3"/>
    <col min="4342" max="4342" width="73.88671875" style="3" customWidth="1"/>
    <col min="4343" max="4343" width="11.44140625" style="3"/>
    <col min="4344" max="4344" width="14" style="3" customWidth="1"/>
    <col min="4345" max="4345" width="11.44140625" style="3"/>
    <col min="4346" max="4346" width="29.33203125" style="3" customWidth="1"/>
    <col min="4347" max="4597" width="11.44140625" style="3"/>
    <col min="4598" max="4598" width="73.88671875" style="3" customWidth="1"/>
    <col min="4599" max="4599" width="11.44140625" style="3"/>
    <col min="4600" max="4600" width="14" style="3" customWidth="1"/>
    <col min="4601" max="4601" width="11.44140625" style="3"/>
    <col min="4602" max="4602" width="29.33203125" style="3" customWidth="1"/>
    <col min="4603" max="4853" width="11.44140625" style="3"/>
    <col min="4854" max="4854" width="73.88671875" style="3" customWidth="1"/>
    <col min="4855" max="4855" width="11.44140625" style="3"/>
    <col min="4856" max="4856" width="14" style="3" customWidth="1"/>
    <col min="4857" max="4857" width="11.44140625" style="3"/>
    <col min="4858" max="4858" width="29.33203125" style="3" customWidth="1"/>
    <col min="4859" max="5109" width="11.44140625" style="3"/>
    <col min="5110" max="5110" width="73.88671875" style="3" customWidth="1"/>
    <col min="5111" max="5111" width="11.44140625" style="3"/>
    <col min="5112" max="5112" width="14" style="3" customWidth="1"/>
    <col min="5113" max="5113" width="11.44140625" style="3"/>
    <col min="5114" max="5114" width="29.33203125" style="3" customWidth="1"/>
    <col min="5115" max="5365" width="11.44140625" style="3"/>
    <col min="5366" max="5366" width="73.88671875" style="3" customWidth="1"/>
    <col min="5367" max="5367" width="11.44140625" style="3"/>
    <col min="5368" max="5368" width="14" style="3" customWidth="1"/>
    <col min="5369" max="5369" width="11.44140625" style="3"/>
    <col min="5370" max="5370" width="29.33203125" style="3" customWidth="1"/>
    <col min="5371" max="5621" width="11.44140625" style="3"/>
    <col min="5622" max="5622" width="73.88671875" style="3" customWidth="1"/>
    <col min="5623" max="5623" width="11.44140625" style="3"/>
    <col min="5624" max="5624" width="14" style="3" customWidth="1"/>
    <col min="5625" max="5625" width="11.44140625" style="3"/>
    <col min="5626" max="5626" width="29.33203125" style="3" customWidth="1"/>
    <col min="5627" max="5877" width="11.44140625" style="3"/>
    <col min="5878" max="5878" width="73.88671875" style="3" customWidth="1"/>
    <col min="5879" max="5879" width="11.44140625" style="3"/>
    <col min="5880" max="5880" width="14" style="3" customWidth="1"/>
    <col min="5881" max="5881" width="11.44140625" style="3"/>
    <col min="5882" max="5882" width="29.33203125" style="3" customWidth="1"/>
    <col min="5883" max="6133" width="11.44140625" style="3"/>
    <col min="6134" max="6134" width="73.88671875" style="3" customWidth="1"/>
    <col min="6135" max="6135" width="11.44140625" style="3"/>
    <col min="6136" max="6136" width="14" style="3" customWidth="1"/>
    <col min="6137" max="6137" width="11.44140625" style="3"/>
    <col min="6138" max="6138" width="29.33203125" style="3" customWidth="1"/>
    <col min="6139" max="6389" width="11.44140625" style="3"/>
    <col min="6390" max="6390" width="73.88671875" style="3" customWidth="1"/>
    <col min="6391" max="6391" width="11.44140625" style="3"/>
    <col min="6392" max="6392" width="14" style="3" customWidth="1"/>
    <col min="6393" max="6393" width="11.44140625" style="3"/>
    <col min="6394" max="6394" width="29.33203125" style="3" customWidth="1"/>
    <col min="6395" max="6645" width="11.44140625" style="3"/>
    <col min="6646" max="6646" width="73.88671875" style="3" customWidth="1"/>
    <col min="6647" max="6647" width="11.44140625" style="3"/>
    <col min="6648" max="6648" width="14" style="3" customWidth="1"/>
    <col min="6649" max="6649" width="11.44140625" style="3"/>
    <col min="6650" max="6650" width="29.33203125" style="3" customWidth="1"/>
    <col min="6651" max="6901" width="11.44140625" style="3"/>
    <col min="6902" max="6902" width="73.88671875" style="3" customWidth="1"/>
    <col min="6903" max="6903" width="11.44140625" style="3"/>
    <col min="6904" max="6904" width="14" style="3" customWidth="1"/>
    <col min="6905" max="6905" width="11.44140625" style="3"/>
    <col min="6906" max="6906" width="29.33203125" style="3" customWidth="1"/>
    <col min="6907" max="7157" width="11.44140625" style="3"/>
    <col min="7158" max="7158" width="73.88671875" style="3" customWidth="1"/>
    <col min="7159" max="7159" width="11.44140625" style="3"/>
    <col min="7160" max="7160" width="14" style="3" customWidth="1"/>
    <col min="7161" max="7161" width="11.44140625" style="3"/>
    <col min="7162" max="7162" width="29.33203125" style="3" customWidth="1"/>
    <col min="7163" max="7413" width="11.44140625" style="3"/>
    <col min="7414" max="7414" width="73.88671875" style="3" customWidth="1"/>
    <col min="7415" max="7415" width="11.44140625" style="3"/>
    <col min="7416" max="7416" width="14" style="3" customWidth="1"/>
    <col min="7417" max="7417" width="11.44140625" style="3"/>
    <col min="7418" max="7418" width="29.33203125" style="3" customWidth="1"/>
    <col min="7419" max="7669" width="11.44140625" style="3"/>
    <col min="7670" max="7670" width="73.88671875" style="3" customWidth="1"/>
    <col min="7671" max="7671" width="11.44140625" style="3"/>
    <col min="7672" max="7672" width="14" style="3" customWidth="1"/>
    <col min="7673" max="7673" width="11.44140625" style="3"/>
    <col min="7674" max="7674" width="29.33203125" style="3" customWidth="1"/>
    <col min="7675" max="7925" width="11.44140625" style="3"/>
    <col min="7926" max="7926" width="73.88671875" style="3" customWidth="1"/>
    <col min="7927" max="7927" width="11.44140625" style="3"/>
    <col min="7928" max="7928" width="14" style="3" customWidth="1"/>
    <col min="7929" max="7929" width="11.44140625" style="3"/>
    <col min="7930" max="7930" width="29.33203125" style="3" customWidth="1"/>
    <col min="7931" max="8181" width="11.44140625" style="3"/>
    <col min="8182" max="8182" width="73.88671875" style="3" customWidth="1"/>
    <col min="8183" max="8183" width="11.44140625" style="3"/>
    <col min="8184" max="8184" width="14" style="3" customWidth="1"/>
    <col min="8185" max="8185" width="11.44140625" style="3"/>
    <col min="8186" max="8186" width="29.33203125" style="3" customWidth="1"/>
    <col min="8187" max="8437" width="11.44140625" style="3"/>
    <col min="8438" max="8438" width="73.88671875" style="3" customWidth="1"/>
    <col min="8439" max="8439" width="11.44140625" style="3"/>
    <col min="8440" max="8440" width="14" style="3" customWidth="1"/>
    <col min="8441" max="8441" width="11.44140625" style="3"/>
    <col min="8442" max="8442" width="29.33203125" style="3" customWidth="1"/>
    <col min="8443" max="8693" width="11.44140625" style="3"/>
    <col min="8694" max="8694" width="73.88671875" style="3" customWidth="1"/>
    <col min="8695" max="8695" width="11.44140625" style="3"/>
    <col min="8696" max="8696" width="14" style="3" customWidth="1"/>
    <col min="8697" max="8697" width="11.44140625" style="3"/>
    <col min="8698" max="8698" width="29.33203125" style="3" customWidth="1"/>
    <col min="8699" max="8949" width="11.44140625" style="3"/>
    <col min="8950" max="8950" width="73.88671875" style="3" customWidth="1"/>
    <col min="8951" max="8951" width="11.44140625" style="3"/>
    <col min="8952" max="8952" width="14" style="3" customWidth="1"/>
    <col min="8953" max="8953" width="11.44140625" style="3"/>
    <col min="8954" max="8954" width="29.33203125" style="3" customWidth="1"/>
    <col min="8955" max="9205" width="11.44140625" style="3"/>
    <col min="9206" max="9206" width="73.88671875" style="3" customWidth="1"/>
    <col min="9207" max="9207" width="11.44140625" style="3"/>
    <col min="9208" max="9208" width="14" style="3" customWidth="1"/>
    <col min="9209" max="9209" width="11.44140625" style="3"/>
    <col min="9210" max="9210" width="29.33203125" style="3" customWidth="1"/>
    <col min="9211" max="9461" width="11.44140625" style="3"/>
    <col min="9462" max="9462" width="73.88671875" style="3" customWidth="1"/>
    <col min="9463" max="9463" width="11.44140625" style="3"/>
    <col min="9464" max="9464" width="14" style="3" customWidth="1"/>
    <col min="9465" max="9465" width="11.44140625" style="3"/>
    <col min="9466" max="9466" width="29.33203125" style="3" customWidth="1"/>
    <col min="9467" max="9717" width="11.44140625" style="3"/>
    <col min="9718" max="9718" width="73.88671875" style="3" customWidth="1"/>
    <col min="9719" max="9719" width="11.44140625" style="3"/>
    <col min="9720" max="9720" width="14" style="3" customWidth="1"/>
    <col min="9721" max="9721" width="11.44140625" style="3"/>
    <col min="9722" max="9722" width="29.33203125" style="3" customWidth="1"/>
    <col min="9723" max="9973" width="11.44140625" style="3"/>
    <col min="9974" max="9974" width="73.88671875" style="3" customWidth="1"/>
    <col min="9975" max="9975" width="11.44140625" style="3"/>
    <col min="9976" max="9976" width="14" style="3" customWidth="1"/>
    <col min="9977" max="9977" width="11.44140625" style="3"/>
    <col min="9978" max="9978" width="29.33203125" style="3" customWidth="1"/>
    <col min="9979" max="10229" width="11.44140625" style="3"/>
    <col min="10230" max="10230" width="73.88671875" style="3" customWidth="1"/>
    <col min="10231" max="10231" width="11.44140625" style="3"/>
    <col min="10232" max="10232" width="14" style="3" customWidth="1"/>
    <col min="10233" max="10233" width="11.44140625" style="3"/>
    <col min="10234" max="10234" width="29.33203125" style="3" customWidth="1"/>
    <col min="10235" max="10485" width="11.44140625" style="3"/>
    <col min="10486" max="10486" width="73.88671875" style="3" customWidth="1"/>
    <col min="10487" max="10487" width="11.44140625" style="3"/>
    <col min="10488" max="10488" width="14" style="3" customWidth="1"/>
    <col min="10489" max="10489" width="11.44140625" style="3"/>
    <col min="10490" max="10490" width="29.33203125" style="3" customWidth="1"/>
    <col min="10491" max="10741" width="11.44140625" style="3"/>
    <col min="10742" max="10742" width="73.88671875" style="3" customWidth="1"/>
    <col min="10743" max="10743" width="11.44140625" style="3"/>
    <col min="10744" max="10744" width="14" style="3" customWidth="1"/>
    <col min="10745" max="10745" width="11.44140625" style="3"/>
    <col min="10746" max="10746" width="29.33203125" style="3" customWidth="1"/>
    <col min="10747" max="10997" width="11.44140625" style="3"/>
    <col min="10998" max="10998" width="73.88671875" style="3" customWidth="1"/>
    <col min="10999" max="10999" width="11.44140625" style="3"/>
    <col min="11000" max="11000" width="14" style="3" customWidth="1"/>
    <col min="11001" max="11001" width="11.44140625" style="3"/>
    <col min="11002" max="11002" width="29.33203125" style="3" customWidth="1"/>
    <col min="11003" max="11253" width="11.44140625" style="3"/>
    <col min="11254" max="11254" width="73.88671875" style="3" customWidth="1"/>
    <col min="11255" max="11255" width="11.44140625" style="3"/>
    <col min="11256" max="11256" width="14" style="3" customWidth="1"/>
    <col min="11257" max="11257" width="11.44140625" style="3"/>
    <col min="11258" max="11258" width="29.33203125" style="3" customWidth="1"/>
    <col min="11259" max="11509" width="11.44140625" style="3"/>
    <col min="11510" max="11510" width="73.88671875" style="3" customWidth="1"/>
    <col min="11511" max="11511" width="11.44140625" style="3"/>
    <col min="11512" max="11512" width="14" style="3" customWidth="1"/>
    <col min="11513" max="11513" width="11.44140625" style="3"/>
    <col min="11514" max="11514" width="29.33203125" style="3" customWidth="1"/>
    <col min="11515" max="11765" width="11.44140625" style="3"/>
    <col min="11766" max="11766" width="73.88671875" style="3" customWidth="1"/>
    <col min="11767" max="11767" width="11.44140625" style="3"/>
    <col min="11768" max="11768" width="14" style="3" customWidth="1"/>
    <col min="11769" max="11769" width="11.44140625" style="3"/>
    <col min="11770" max="11770" width="29.33203125" style="3" customWidth="1"/>
    <col min="11771" max="12021" width="11.44140625" style="3"/>
    <col min="12022" max="12022" width="73.88671875" style="3" customWidth="1"/>
    <col min="12023" max="12023" width="11.44140625" style="3"/>
    <col min="12024" max="12024" width="14" style="3" customWidth="1"/>
    <col min="12025" max="12025" width="11.44140625" style="3"/>
    <col min="12026" max="12026" width="29.33203125" style="3" customWidth="1"/>
    <col min="12027" max="12277" width="11.44140625" style="3"/>
    <col min="12278" max="12278" width="73.88671875" style="3" customWidth="1"/>
    <col min="12279" max="12279" width="11.44140625" style="3"/>
    <col min="12280" max="12280" width="14" style="3" customWidth="1"/>
    <col min="12281" max="12281" width="11.44140625" style="3"/>
    <col min="12282" max="12282" width="29.33203125" style="3" customWidth="1"/>
    <col min="12283" max="12533" width="11.44140625" style="3"/>
    <col min="12534" max="12534" width="73.88671875" style="3" customWidth="1"/>
    <col min="12535" max="12535" width="11.44140625" style="3"/>
    <col min="12536" max="12536" width="14" style="3" customWidth="1"/>
    <col min="12537" max="12537" width="11.44140625" style="3"/>
    <col min="12538" max="12538" width="29.33203125" style="3" customWidth="1"/>
    <col min="12539" max="12789" width="11.44140625" style="3"/>
    <col min="12790" max="12790" width="73.88671875" style="3" customWidth="1"/>
    <col min="12791" max="12791" width="11.44140625" style="3"/>
    <col min="12792" max="12792" width="14" style="3" customWidth="1"/>
    <col min="12793" max="12793" width="11.44140625" style="3"/>
    <col min="12794" max="12794" width="29.33203125" style="3" customWidth="1"/>
    <col min="12795" max="13045" width="11.44140625" style="3"/>
    <col min="13046" max="13046" width="73.88671875" style="3" customWidth="1"/>
    <col min="13047" max="13047" width="11.44140625" style="3"/>
    <col min="13048" max="13048" width="14" style="3" customWidth="1"/>
    <col min="13049" max="13049" width="11.44140625" style="3"/>
    <col min="13050" max="13050" width="29.33203125" style="3" customWidth="1"/>
    <col min="13051" max="13301" width="11.44140625" style="3"/>
    <col min="13302" max="13302" width="73.88671875" style="3" customWidth="1"/>
    <col min="13303" max="13303" width="11.44140625" style="3"/>
    <col min="13304" max="13304" width="14" style="3" customWidth="1"/>
    <col min="13305" max="13305" width="11.44140625" style="3"/>
    <col min="13306" max="13306" width="29.33203125" style="3" customWidth="1"/>
    <col min="13307" max="13557" width="11.44140625" style="3"/>
    <col min="13558" max="13558" width="73.88671875" style="3" customWidth="1"/>
    <col min="13559" max="13559" width="11.44140625" style="3"/>
    <col min="13560" max="13560" width="14" style="3" customWidth="1"/>
    <col min="13561" max="13561" width="11.44140625" style="3"/>
    <col min="13562" max="13562" width="29.33203125" style="3" customWidth="1"/>
    <col min="13563" max="13813" width="11.44140625" style="3"/>
    <col min="13814" max="13814" width="73.88671875" style="3" customWidth="1"/>
    <col min="13815" max="13815" width="11.44140625" style="3"/>
    <col min="13816" max="13816" width="14" style="3" customWidth="1"/>
    <col min="13817" max="13817" width="11.44140625" style="3"/>
    <col min="13818" max="13818" width="29.33203125" style="3" customWidth="1"/>
    <col min="13819" max="14069" width="11.44140625" style="3"/>
    <col min="14070" max="14070" width="73.88671875" style="3" customWidth="1"/>
    <col min="14071" max="14071" width="11.44140625" style="3"/>
    <col min="14072" max="14072" width="14" style="3" customWidth="1"/>
    <col min="14073" max="14073" width="11.44140625" style="3"/>
    <col min="14074" max="14074" width="29.33203125" style="3" customWidth="1"/>
    <col min="14075" max="14325" width="11.44140625" style="3"/>
    <col min="14326" max="14326" width="73.88671875" style="3" customWidth="1"/>
    <col min="14327" max="14327" width="11.44140625" style="3"/>
    <col min="14328" max="14328" width="14" style="3" customWidth="1"/>
    <col min="14329" max="14329" width="11.44140625" style="3"/>
    <col min="14330" max="14330" width="29.33203125" style="3" customWidth="1"/>
    <col min="14331" max="14581" width="11.44140625" style="3"/>
    <col min="14582" max="14582" width="73.88671875" style="3" customWidth="1"/>
    <col min="14583" max="14583" width="11.44140625" style="3"/>
    <col min="14584" max="14584" width="14" style="3" customWidth="1"/>
    <col min="14585" max="14585" width="11.44140625" style="3"/>
    <col min="14586" max="14586" width="29.33203125" style="3" customWidth="1"/>
    <col min="14587" max="14837" width="11.44140625" style="3"/>
    <col min="14838" max="14838" width="73.88671875" style="3" customWidth="1"/>
    <col min="14839" max="14839" width="11.44140625" style="3"/>
    <col min="14840" max="14840" width="14" style="3" customWidth="1"/>
    <col min="14841" max="14841" width="11.44140625" style="3"/>
    <col min="14842" max="14842" width="29.33203125" style="3" customWidth="1"/>
    <col min="14843" max="15093" width="11.44140625" style="3"/>
    <col min="15094" max="15094" width="73.88671875" style="3" customWidth="1"/>
    <col min="15095" max="15095" width="11.44140625" style="3"/>
    <col min="15096" max="15096" width="14" style="3" customWidth="1"/>
    <col min="15097" max="15097" width="11.44140625" style="3"/>
    <col min="15098" max="15098" width="29.33203125" style="3" customWidth="1"/>
    <col min="15099" max="15349" width="11.44140625" style="3"/>
    <col min="15350" max="15350" width="73.88671875" style="3" customWidth="1"/>
    <col min="15351" max="15351" width="11.44140625" style="3"/>
    <col min="15352" max="15352" width="14" style="3" customWidth="1"/>
    <col min="15353" max="15353" width="11.44140625" style="3"/>
    <col min="15354" max="15354" width="29.33203125" style="3" customWidth="1"/>
    <col min="15355" max="15605" width="11.44140625" style="3"/>
    <col min="15606" max="15606" width="73.88671875" style="3" customWidth="1"/>
    <col min="15607" max="15607" width="11.44140625" style="3"/>
    <col min="15608" max="15608" width="14" style="3" customWidth="1"/>
    <col min="15609" max="15609" width="11.44140625" style="3"/>
    <col min="15610" max="15610" width="29.33203125" style="3" customWidth="1"/>
    <col min="15611" max="15861" width="11.44140625" style="3"/>
    <col min="15862" max="15862" width="73.88671875" style="3" customWidth="1"/>
    <col min="15863" max="15863" width="11.44140625" style="3"/>
    <col min="15864" max="15864" width="14" style="3" customWidth="1"/>
    <col min="15865" max="15865" width="11.44140625" style="3"/>
    <col min="15866" max="15866" width="29.33203125" style="3" customWidth="1"/>
    <col min="15867" max="16117" width="11.44140625" style="3"/>
    <col min="16118" max="16118" width="73.88671875" style="3" customWidth="1"/>
    <col min="16119" max="16119" width="11.44140625" style="3"/>
    <col min="16120" max="16120" width="14" style="3" customWidth="1"/>
    <col min="16121" max="16121" width="11.44140625" style="3"/>
    <col min="16122" max="16122" width="29.33203125" style="3" customWidth="1"/>
    <col min="16123" max="16384" width="11.44140625" style="3"/>
  </cols>
  <sheetData>
    <row r="1" spans="1:10" customFormat="1" ht="57.75" customHeight="1" thickBot="1">
      <c r="A1" s="253"/>
      <c r="B1" s="293"/>
      <c r="C1" s="294"/>
      <c r="D1" s="295"/>
      <c r="E1" s="237"/>
      <c r="F1" s="237"/>
      <c r="G1" s="237"/>
      <c r="H1" s="237"/>
      <c r="I1" s="237"/>
      <c r="J1" s="237"/>
    </row>
    <row r="2" spans="1:10" s="1" customFormat="1" ht="18.75" customHeight="1" thickBot="1">
      <c r="A2" s="450" t="s">
        <v>560</v>
      </c>
      <c r="B2" s="451"/>
      <c r="C2" s="451"/>
      <c r="D2" s="451"/>
    </row>
    <row r="3" spans="1:10" s="1" customFormat="1" ht="18.75" customHeight="1" thickBot="1">
      <c r="A3" s="136"/>
      <c r="B3" s="147" t="s">
        <v>578</v>
      </c>
      <c r="C3" s="251"/>
      <c r="D3" s="252"/>
    </row>
    <row r="4" spans="1:10" s="1" customFormat="1" ht="33" customHeight="1" thickBot="1">
      <c r="A4" s="128" t="s">
        <v>563</v>
      </c>
      <c r="B4" s="137" t="s">
        <v>108</v>
      </c>
      <c r="C4" s="133" t="s">
        <v>58</v>
      </c>
      <c r="D4" s="141" t="s">
        <v>564</v>
      </c>
    </row>
    <row r="5" spans="1:10" s="5" customFormat="1" ht="24.75" customHeight="1" thickBot="1">
      <c r="A5" s="445" t="s">
        <v>643</v>
      </c>
      <c r="B5" s="446"/>
      <c r="C5" s="446"/>
      <c r="D5" s="446"/>
    </row>
    <row r="6" spans="1:10">
      <c r="A6" s="180">
        <v>1</v>
      </c>
      <c r="B6" s="84" t="s">
        <v>662</v>
      </c>
      <c r="C6" s="87" t="s">
        <v>54</v>
      </c>
      <c r="D6" s="83">
        <v>1111.3</v>
      </c>
      <c r="E6" s="4"/>
      <c r="F6" s="4"/>
      <c r="G6" s="4"/>
    </row>
    <row r="7" spans="1:10">
      <c r="A7" s="180">
        <f t="shared" ref="A7:A32" si="0">A6+1</f>
        <v>2</v>
      </c>
      <c r="B7" s="84" t="s">
        <v>663</v>
      </c>
      <c r="C7" s="87" t="s">
        <v>54</v>
      </c>
      <c r="D7" s="83">
        <v>1111.3</v>
      </c>
      <c r="E7" s="4"/>
      <c r="F7" s="4"/>
      <c r="G7" s="4"/>
    </row>
    <row r="8" spans="1:10">
      <c r="A8" s="180">
        <f t="shared" si="0"/>
        <v>3</v>
      </c>
      <c r="B8" s="84" t="s">
        <v>597</v>
      </c>
      <c r="C8" s="87" t="s">
        <v>54</v>
      </c>
      <c r="D8" s="83">
        <v>1822.07</v>
      </c>
      <c r="E8" s="4"/>
      <c r="F8" s="4"/>
      <c r="G8" s="4"/>
    </row>
    <row r="9" spans="1:10">
      <c r="A9" s="180">
        <f t="shared" si="0"/>
        <v>4</v>
      </c>
      <c r="B9" s="84" t="s">
        <v>661</v>
      </c>
      <c r="C9" s="87" t="s">
        <v>54</v>
      </c>
      <c r="D9" s="83">
        <v>1822.07</v>
      </c>
      <c r="E9" s="4"/>
      <c r="F9" s="4"/>
      <c r="G9" s="4"/>
    </row>
    <row r="10" spans="1:10">
      <c r="A10" s="180">
        <f t="shared" si="0"/>
        <v>5</v>
      </c>
      <c r="B10" s="84" t="s">
        <v>139</v>
      </c>
      <c r="C10" s="87" t="s">
        <v>54</v>
      </c>
      <c r="D10" s="83">
        <v>1500</v>
      </c>
      <c r="E10" s="4"/>
      <c r="F10" s="4"/>
      <c r="G10" s="4"/>
    </row>
    <row r="11" spans="1:10">
      <c r="A11" s="180">
        <f t="shared" si="0"/>
        <v>6</v>
      </c>
      <c r="B11" s="84" t="s">
        <v>140</v>
      </c>
      <c r="C11" s="87" t="s">
        <v>54</v>
      </c>
      <c r="D11" s="83">
        <v>809.27</v>
      </c>
      <c r="E11" s="4"/>
      <c r="F11" s="4"/>
      <c r="G11" s="4"/>
    </row>
    <row r="12" spans="1:10">
      <c r="A12" s="180">
        <f t="shared" si="0"/>
        <v>7</v>
      </c>
      <c r="B12" s="84" t="s">
        <v>141</v>
      </c>
      <c r="C12" s="87" t="s">
        <v>54</v>
      </c>
      <c r="D12" s="83">
        <v>1336.19</v>
      </c>
      <c r="E12" s="4"/>
      <c r="F12" s="4"/>
      <c r="G12" s="4"/>
    </row>
    <row r="13" spans="1:10">
      <c r="A13" s="180">
        <f t="shared" si="0"/>
        <v>8</v>
      </c>
      <c r="B13" s="84" t="s">
        <v>142</v>
      </c>
      <c r="C13" s="87" t="s">
        <v>54</v>
      </c>
      <c r="D13" s="83">
        <v>1012.82</v>
      </c>
      <c r="E13" s="4"/>
      <c r="F13" s="4"/>
      <c r="G13" s="4"/>
    </row>
    <row r="14" spans="1:10">
      <c r="A14" s="180">
        <f t="shared" si="0"/>
        <v>9</v>
      </c>
      <c r="B14" s="84" t="s">
        <v>601</v>
      </c>
      <c r="C14" s="87" t="s">
        <v>54</v>
      </c>
      <c r="D14" s="83">
        <v>1231.8499999999999</v>
      </c>
      <c r="E14" s="4"/>
      <c r="F14" s="4"/>
      <c r="G14" s="4"/>
    </row>
    <row r="15" spans="1:10">
      <c r="A15" s="180">
        <f t="shared" si="0"/>
        <v>10</v>
      </c>
      <c r="B15" s="52" t="s">
        <v>664</v>
      </c>
      <c r="C15" s="87" t="s">
        <v>54</v>
      </c>
      <c r="D15" s="83">
        <v>1416.63</v>
      </c>
      <c r="E15" s="4"/>
      <c r="F15" s="4"/>
      <c r="G15" s="4"/>
    </row>
    <row r="16" spans="1:10">
      <c r="A16" s="180">
        <f t="shared" si="0"/>
        <v>11</v>
      </c>
      <c r="B16" s="84" t="s">
        <v>143</v>
      </c>
      <c r="C16" s="87" t="s">
        <v>54</v>
      </c>
      <c r="D16" s="83">
        <v>1416.63</v>
      </c>
      <c r="E16" s="4"/>
      <c r="F16" s="4"/>
      <c r="G16" s="4"/>
    </row>
    <row r="17" spans="1:7">
      <c r="A17" s="180">
        <f t="shared" si="0"/>
        <v>12</v>
      </c>
      <c r="B17" s="84" t="s">
        <v>144</v>
      </c>
      <c r="C17" s="87" t="s">
        <v>54</v>
      </c>
      <c r="D17" s="83">
        <v>1416.63</v>
      </c>
      <c r="E17" s="4"/>
      <c r="F17" s="4"/>
      <c r="G17" s="4"/>
    </row>
    <row r="18" spans="1:7">
      <c r="A18" s="180">
        <f t="shared" si="0"/>
        <v>13</v>
      </c>
      <c r="B18" s="84" t="s">
        <v>145</v>
      </c>
      <c r="C18" s="87" t="s">
        <v>54</v>
      </c>
      <c r="D18" s="83">
        <v>809.27</v>
      </c>
      <c r="E18" s="4"/>
      <c r="F18" s="4"/>
      <c r="G18" s="4"/>
    </row>
    <row r="19" spans="1:7">
      <c r="A19" s="180">
        <f t="shared" si="0"/>
        <v>14</v>
      </c>
      <c r="B19" s="84" t="s">
        <v>146</v>
      </c>
      <c r="C19" s="87" t="s">
        <v>54</v>
      </c>
      <c r="D19" s="83">
        <v>1500</v>
      </c>
      <c r="E19" s="4"/>
      <c r="F19" s="4"/>
      <c r="G19" s="4"/>
    </row>
    <row r="20" spans="1:7">
      <c r="A20" s="180">
        <f t="shared" si="0"/>
        <v>15</v>
      </c>
      <c r="B20" s="84" t="s">
        <v>147</v>
      </c>
      <c r="C20" s="87" t="s">
        <v>54</v>
      </c>
      <c r="D20" s="83">
        <v>25000</v>
      </c>
      <c r="E20" s="4"/>
      <c r="F20" s="4"/>
      <c r="G20" s="4"/>
    </row>
    <row r="21" spans="1:7">
      <c r="A21" s="180">
        <f t="shared" si="0"/>
        <v>16</v>
      </c>
      <c r="B21" s="84" t="s">
        <v>599</v>
      </c>
      <c r="C21" s="87" t="s">
        <v>54</v>
      </c>
      <c r="D21" s="83">
        <v>750</v>
      </c>
      <c r="E21" s="4"/>
      <c r="F21" s="4"/>
      <c r="G21" s="4"/>
    </row>
    <row r="22" spans="1:7">
      <c r="A22" s="180">
        <f t="shared" si="0"/>
        <v>17</v>
      </c>
      <c r="B22" s="52" t="s">
        <v>598</v>
      </c>
      <c r="C22" s="87" t="s">
        <v>54</v>
      </c>
      <c r="D22" s="83">
        <v>403.81</v>
      </c>
      <c r="E22" s="4"/>
      <c r="F22" s="4"/>
      <c r="G22" s="4"/>
    </row>
    <row r="23" spans="1:7">
      <c r="A23" s="180">
        <f t="shared" si="0"/>
        <v>18</v>
      </c>
      <c r="B23" s="84" t="s">
        <v>148</v>
      </c>
      <c r="C23" s="87" t="s">
        <v>54</v>
      </c>
      <c r="D23" s="83">
        <v>700</v>
      </c>
      <c r="E23" s="4"/>
      <c r="F23" s="4"/>
      <c r="G23" s="4"/>
    </row>
    <row r="24" spans="1:7">
      <c r="A24" s="180">
        <f t="shared" si="0"/>
        <v>19</v>
      </c>
      <c r="B24" s="84" t="s">
        <v>149</v>
      </c>
      <c r="C24" s="87" t="s">
        <v>54</v>
      </c>
      <c r="D24" s="83">
        <v>1416.63</v>
      </c>
      <c r="E24" s="4"/>
      <c r="F24" s="4"/>
      <c r="G24" s="4"/>
    </row>
    <row r="25" spans="1:7">
      <c r="A25" s="180">
        <f t="shared" si="0"/>
        <v>20</v>
      </c>
      <c r="B25" s="84" t="s">
        <v>150</v>
      </c>
      <c r="C25" s="87" t="s">
        <v>54</v>
      </c>
      <c r="D25" s="83">
        <v>1111.3</v>
      </c>
      <c r="E25" s="4"/>
      <c r="F25" s="4"/>
      <c r="G25" s="4"/>
    </row>
    <row r="26" spans="1:7">
      <c r="A26" s="180">
        <f t="shared" si="0"/>
        <v>21</v>
      </c>
      <c r="B26" s="84" t="s">
        <v>151</v>
      </c>
      <c r="C26" s="87" t="s">
        <v>54</v>
      </c>
      <c r="D26" s="83">
        <v>850</v>
      </c>
      <c r="E26" s="4"/>
      <c r="F26" s="4"/>
      <c r="G26" s="4"/>
    </row>
    <row r="27" spans="1:7">
      <c r="A27" s="180">
        <f t="shared" si="0"/>
        <v>22</v>
      </c>
      <c r="B27" s="84" t="s">
        <v>152</v>
      </c>
      <c r="C27" s="87" t="s">
        <v>54</v>
      </c>
      <c r="D27" s="83">
        <v>1000</v>
      </c>
      <c r="E27" s="4"/>
      <c r="F27" s="4"/>
      <c r="G27" s="4"/>
    </row>
    <row r="28" spans="1:7">
      <c r="A28" s="180">
        <f t="shared" si="0"/>
        <v>23</v>
      </c>
      <c r="B28" s="52" t="s">
        <v>600</v>
      </c>
      <c r="C28" s="87" t="s">
        <v>54</v>
      </c>
      <c r="D28" s="83">
        <v>1618.53</v>
      </c>
    </row>
    <row r="29" spans="1:7">
      <c r="A29" s="180">
        <f t="shared" si="0"/>
        <v>24</v>
      </c>
      <c r="B29" s="84" t="s">
        <v>153</v>
      </c>
      <c r="C29" s="87" t="s">
        <v>54</v>
      </c>
      <c r="D29" s="83">
        <v>1618.53</v>
      </c>
      <c r="E29" s="4"/>
      <c r="F29" s="4"/>
      <c r="G29" s="4"/>
    </row>
    <row r="30" spans="1:7">
      <c r="A30" s="180">
        <f t="shared" si="0"/>
        <v>25</v>
      </c>
      <c r="B30" s="84" t="s">
        <v>154</v>
      </c>
      <c r="C30" s="87" t="s">
        <v>54</v>
      </c>
      <c r="D30" s="83">
        <v>880.1</v>
      </c>
      <c r="E30" s="4"/>
      <c r="F30" s="4"/>
      <c r="G30" s="4"/>
    </row>
    <row r="31" spans="1:7">
      <c r="A31" s="180">
        <f t="shared" si="0"/>
        <v>26</v>
      </c>
      <c r="B31" s="84" t="s">
        <v>155</v>
      </c>
      <c r="C31" s="87" t="s">
        <v>54</v>
      </c>
      <c r="D31" s="83">
        <v>1500</v>
      </c>
      <c r="E31" s="4"/>
      <c r="F31" s="4"/>
      <c r="G31" s="4"/>
    </row>
    <row r="32" spans="1:7">
      <c r="A32" s="180">
        <f t="shared" si="0"/>
        <v>27</v>
      </c>
      <c r="B32" s="84" t="s">
        <v>156</v>
      </c>
      <c r="C32" s="87" t="s">
        <v>54</v>
      </c>
      <c r="D32" s="83">
        <v>750</v>
      </c>
      <c r="E32" s="4"/>
      <c r="F32" s="4"/>
      <c r="G32" s="4"/>
    </row>
    <row r="33" spans="1:7" ht="19.2" thickBot="1">
      <c r="A33" s="138"/>
      <c r="B33" s="65"/>
      <c r="C33" s="54"/>
      <c r="D33" s="142"/>
      <c r="E33" s="4"/>
      <c r="F33" s="4"/>
      <c r="G33" s="4"/>
    </row>
    <row r="34" spans="1:7" s="5" customFormat="1" ht="16.8" thickBot="1">
      <c r="A34" s="445" t="s">
        <v>645</v>
      </c>
      <c r="B34" s="446" t="s">
        <v>644</v>
      </c>
      <c r="C34" s="446"/>
      <c r="D34" s="446"/>
    </row>
    <row r="35" spans="1:7">
      <c r="A35" s="180">
        <f>A32+1</f>
        <v>28</v>
      </c>
      <c r="B35" s="84" t="s">
        <v>665</v>
      </c>
      <c r="C35" s="87" t="s">
        <v>54</v>
      </c>
      <c r="D35" s="83">
        <v>911.04</v>
      </c>
      <c r="E35" s="4"/>
      <c r="F35" s="4"/>
      <c r="G35" s="4"/>
    </row>
    <row r="36" spans="1:7">
      <c r="A36" s="180">
        <f>A35+1</f>
        <v>29</v>
      </c>
      <c r="B36" s="84" t="s">
        <v>666</v>
      </c>
      <c r="C36" s="87" t="s">
        <v>54</v>
      </c>
      <c r="D36" s="83">
        <v>707.49</v>
      </c>
      <c r="E36" s="4"/>
      <c r="F36" s="4"/>
      <c r="G36" s="4"/>
    </row>
    <row r="37" spans="1:7">
      <c r="A37" s="180">
        <f t="shared" ref="A37:A41" si="1">A36+1</f>
        <v>30</v>
      </c>
      <c r="B37" s="84" t="s">
        <v>602</v>
      </c>
      <c r="C37" s="87" t="s">
        <v>54</v>
      </c>
      <c r="D37" s="83">
        <v>1111.3</v>
      </c>
      <c r="E37" s="4"/>
      <c r="F37" s="4"/>
      <c r="G37" s="4"/>
    </row>
    <row r="38" spans="1:7">
      <c r="A38" s="180">
        <f t="shared" si="1"/>
        <v>31</v>
      </c>
      <c r="B38" s="84" t="s">
        <v>157</v>
      </c>
      <c r="C38" s="87" t="s">
        <v>54</v>
      </c>
      <c r="D38" s="83">
        <v>809.27</v>
      </c>
      <c r="E38" s="4"/>
      <c r="F38" s="4"/>
      <c r="G38" s="4"/>
    </row>
    <row r="39" spans="1:7">
      <c r="A39" s="180">
        <f t="shared" si="1"/>
        <v>32</v>
      </c>
      <c r="B39" s="84" t="s">
        <v>596</v>
      </c>
      <c r="C39" s="87" t="s">
        <v>54</v>
      </c>
      <c r="D39" s="83">
        <f>D38*1.05</f>
        <v>849.73350000000005</v>
      </c>
      <c r="E39" s="4"/>
      <c r="F39" s="4"/>
      <c r="G39" s="4"/>
    </row>
    <row r="40" spans="1:7">
      <c r="A40" s="180">
        <f t="shared" si="1"/>
        <v>33</v>
      </c>
      <c r="B40" s="84" t="s">
        <v>630</v>
      </c>
      <c r="C40" s="87" t="s">
        <v>54</v>
      </c>
      <c r="D40" s="83">
        <v>911.04</v>
      </c>
      <c r="E40" s="4"/>
      <c r="F40" s="4"/>
      <c r="G40" s="4"/>
    </row>
    <row r="41" spans="1:7">
      <c r="A41" s="180">
        <f t="shared" si="1"/>
        <v>34</v>
      </c>
      <c r="B41" s="84" t="s">
        <v>291</v>
      </c>
      <c r="C41" s="87" t="s">
        <v>54</v>
      </c>
      <c r="D41" s="83">
        <v>1001.46</v>
      </c>
      <c r="E41" s="4"/>
      <c r="F41" s="4"/>
      <c r="G41" s="4"/>
    </row>
    <row r="42" spans="1:7" ht="19.2" thickBot="1">
      <c r="A42" s="56"/>
      <c r="B42" s="65"/>
      <c r="C42" s="54"/>
      <c r="D42" s="142"/>
      <c r="E42" s="4"/>
      <c r="F42" s="4"/>
      <c r="G42" s="4"/>
    </row>
    <row r="43" spans="1:7" s="5" customFormat="1" ht="16.8" thickBot="1">
      <c r="A43" s="445" t="s">
        <v>646</v>
      </c>
      <c r="B43" s="446" t="s">
        <v>644</v>
      </c>
      <c r="C43" s="446"/>
      <c r="D43" s="446"/>
    </row>
    <row r="44" spans="1:7">
      <c r="A44" s="153">
        <f>A41+1</f>
        <v>35</v>
      </c>
      <c r="B44" s="84" t="s">
        <v>613</v>
      </c>
      <c r="C44" s="87" t="s">
        <v>54</v>
      </c>
      <c r="D44" s="83">
        <v>707.49</v>
      </c>
      <c r="E44" s="11"/>
      <c r="F44" s="4"/>
      <c r="G44" s="4"/>
    </row>
    <row r="45" spans="1:7">
      <c r="A45" s="153">
        <f>A44+1</f>
        <v>36</v>
      </c>
      <c r="B45" s="84" t="s">
        <v>614</v>
      </c>
      <c r="C45" s="87" t="s">
        <v>54</v>
      </c>
      <c r="D45" s="83">
        <v>707.49</v>
      </c>
      <c r="E45" s="11"/>
      <c r="F45" s="4"/>
      <c r="G45" s="4"/>
    </row>
    <row r="46" spans="1:7">
      <c r="A46" s="153">
        <f t="shared" ref="A46:A54" si="2">A45+1</f>
        <v>37</v>
      </c>
      <c r="B46" s="84" t="s">
        <v>201</v>
      </c>
      <c r="C46" s="87" t="s">
        <v>54</v>
      </c>
      <c r="D46" s="83">
        <v>525.81999999999994</v>
      </c>
      <c r="E46" s="4"/>
      <c r="F46" s="4"/>
      <c r="G46" s="4"/>
    </row>
    <row r="47" spans="1:7">
      <c r="A47" s="153">
        <f t="shared" si="2"/>
        <v>38</v>
      </c>
      <c r="B47" s="84" t="s">
        <v>202</v>
      </c>
      <c r="C47" s="87" t="s">
        <v>54</v>
      </c>
      <c r="D47" s="83">
        <v>525.81999999999994</v>
      </c>
      <c r="E47" s="4"/>
      <c r="F47" s="4"/>
      <c r="G47" s="4"/>
    </row>
    <row r="48" spans="1:7">
      <c r="A48" s="153">
        <f t="shared" si="2"/>
        <v>39</v>
      </c>
      <c r="B48" s="84" t="s">
        <v>579</v>
      </c>
      <c r="C48" s="87" t="s">
        <v>54</v>
      </c>
      <c r="D48" s="83">
        <v>911.04</v>
      </c>
      <c r="E48" s="4"/>
      <c r="F48" s="4"/>
      <c r="G48" s="4"/>
    </row>
    <row r="49" spans="1:7">
      <c r="A49" s="153">
        <f t="shared" si="2"/>
        <v>40</v>
      </c>
      <c r="B49" s="84" t="s">
        <v>651</v>
      </c>
      <c r="C49" s="87" t="s">
        <v>54</v>
      </c>
      <c r="D49" s="83">
        <v>1416.63</v>
      </c>
      <c r="E49" s="4"/>
      <c r="F49" s="4"/>
      <c r="G49" s="4"/>
    </row>
    <row r="50" spans="1:7">
      <c r="A50" s="153">
        <f t="shared" si="2"/>
        <v>41</v>
      </c>
      <c r="B50" s="84" t="s">
        <v>580</v>
      </c>
      <c r="C50" s="87" t="s">
        <v>54</v>
      </c>
      <c r="D50" s="83">
        <v>911.04</v>
      </c>
      <c r="E50" s="4"/>
      <c r="F50" s="4"/>
      <c r="G50" s="4"/>
    </row>
    <row r="51" spans="1:7">
      <c r="A51" s="153">
        <f t="shared" si="2"/>
        <v>42</v>
      </c>
      <c r="B51" s="84" t="s">
        <v>158</v>
      </c>
      <c r="C51" s="87" t="s">
        <v>54</v>
      </c>
      <c r="D51" s="83">
        <v>862</v>
      </c>
      <c r="E51" s="4"/>
      <c r="F51" s="4"/>
      <c r="G51" s="4"/>
    </row>
    <row r="52" spans="1:7">
      <c r="A52" s="153">
        <f t="shared" si="2"/>
        <v>43</v>
      </c>
      <c r="B52" s="84" t="s">
        <v>159</v>
      </c>
      <c r="C52" s="87" t="s">
        <v>54</v>
      </c>
      <c r="D52" s="83">
        <v>911.04</v>
      </c>
      <c r="E52" s="4"/>
      <c r="F52" s="4"/>
      <c r="G52" s="4"/>
    </row>
    <row r="53" spans="1:7">
      <c r="A53" s="153">
        <f t="shared" si="2"/>
        <v>44</v>
      </c>
      <c r="B53" s="84" t="s">
        <v>615</v>
      </c>
      <c r="C53" s="87" t="s">
        <v>54</v>
      </c>
      <c r="D53" s="83">
        <v>707.49</v>
      </c>
      <c r="E53" s="4"/>
      <c r="F53" s="4"/>
      <c r="G53" s="4"/>
    </row>
    <row r="54" spans="1:7">
      <c r="A54" s="153">
        <f t="shared" si="2"/>
        <v>45</v>
      </c>
      <c r="B54" s="84" t="s">
        <v>616</v>
      </c>
      <c r="C54" s="87" t="s">
        <v>54</v>
      </c>
      <c r="D54" s="83">
        <v>911.04</v>
      </c>
      <c r="E54" s="4"/>
      <c r="F54" s="4"/>
      <c r="G54" s="4"/>
    </row>
    <row r="55" spans="1:7" ht="19.2" thickBot="1">
      <c r="A55" s="138"/>
      <c r="B55" s="65"/>
      <c r="C55" s="54"/>
      <c r="D55" s="142"/>
      <c r="E55" s="4"/>
      <c r="F55" s="4"/>
      <c r="G55" s="4"/>
    </row>
    <row r="56" spans="1:7" s="5" customFormat="1" ht="16.8" thickBot="1">
      <c r="A56" s="445" t="s">
        <v>647</v>
      </c>
      <c r="B56" s="446" t="s">
        <v>644</v>
      </c>
      <c r="C56" s="446"/>
      <c r="D56" s="446"/>
    </row>
    <row r="57" spans="1:7">
      <c r="A57" s="153">
        <f>A54+1</f>
        <v>46</v>
      </c>
      <c r="B57" s="84" t="s">
        <v>160</v>
      </c>
      <c r="C57" s="87" t="s">
        <v>54</v>
      </c>
      <c r="D57" s="83">
        <v>615.21</v>
      </c>
      <c r="E57" s="4"/>
      <c r="F57" s="4"/>
      <c r="G57" s="4"/>
    </row>
    <row r="58" spans="1:7">
      <c r="A58" s="153">
        <f>A57+1</f>
        <v>47</v>
      </c>
      <c r="B58" s="84" t="s">
        <v>161</v>
      </c>
      <c r="C58" s="87" t="s">
        <v>54</v>
      </c>
      <c r="D58" s="83">
        <v>615.21</v>
      </c>
      <c r="E58" s="4"/>
      <c r="F58" s="4"/>
      <c r="G58" s="4"/>
    </row>
    <row r="59" spans="1:7">
      <c r="A59" s="153">
        <f t="shared" ref="A59:A62" si="3">A58+1</f>
        <v>48</v>
      </c>
      <c r="B59" s="84" t="s">
        <v>162</v>
      </c>
      <c r="C59" s="87" t="s">
        <v>54</v>
      </c>
      <c r="D59" s="83">
        <v>703.71</v>
      </c>
      <c r="E59" s="4"/>
      <c r="F59" s="4"/>
      <c r="G59" s="4"/>
    </row>
    <row r="60" spans="1:7">
      <c r="A60" s="153">
        <f t="shared" si="3"/>
        <v>49</v>
      </c>
      <c r="B60" s="84" t="s">
        <v>163</v>
      </c>
      <c r="C60" s="87" t="s">
        <v>54</v>
      </c>
      <c r="D60" s="83">
        <v>792.21</v>
      </c>
      <c r="E60" s="4"/>
      <c r="F60" s="4"/>
      <c r="G60" s="4"/>
    </row>
    <row r="61" spans="1:7">
      <c r="A61" s="153">
        <f t="shared" si="3"/>
        <v>50</v>
      </c>
      <c r="B61" s="84" t="s">
        <v>164</v>
      </c>
      <c r="C61" s="87" t="s">
        <v>54</v>
      </c>
      <c r="D61" s="83">
        <v>792.21</v>
      </c>
      <c r="E61" s="4"/>
      <c r="F61" s="4"/>
      <c r="G61" s="4"/>
    </row>
    <row r="62" spans="1:7">
      <c r="A62" s="153">
        <f t="shared" si="3"/>
        <v>51</v>
      </c>
      <c r="B62" s="84" t="s">
        <v>179</v>
      </c>
      <c r="C62" s="87" t="s">
        <v>54</v>
      </c>
      <c r="D62" s="83">
        <v>1600</v>
      </c>
      <c r="E62" s="4"/>
      <c r="F62" s="4"/>
      <c r="G62" s="4"/>
    </row>
    <row r="63" spans="1:7" ht="19.2" thickBot="1">
      <c r="A63" s="138"/>
      <c r="B63" s="65"/>
      <c r="C63" s="54"/>
      <c r="D63" s="142"/>
      <c r="E63" s="4"/>
      <c r="F63" s="4"/>
      <c r="G63" s="4"/>
    </row>
    <row r="64" spans="1:7" s="5" customFormat="1" ht="16.8" thickBot="1">
      <c r="A64" s="445" t="s">
        <v>648</v>
      </c>
      <c r="B64" s="446" t="s">
        <v>644</v>
      </c>
      <c r="C64" s="446"/>
      <c r="D64" s="446"/>
    </row>
    <row r="65" spans="1:7">
      <c r="A65" s="153">
        <f>A62+1</f>
        <v>52</v>
      </c>
      <c r="B65" s="84" t="s">
        <v>165</v>
      </c>
      <c r="C65" s="87" t="s">
        <v>54</v>
      </c>
      <c r="D65" s="83">
        <v>707.49</v>
      </c>
      <c r="E65" s="4"/>
      <c r="F65" s="4"/>
      <c r="G65" s="4"/>
    </row>
    <row r="66" spans="1:7">
      <c r="A66" s="153">
        <f>A65+1</f>
        <v>53</v>
      </c>
      <c r="B66" s="84" t="s">
        <v>166</v>
      </c>
      <c r="C66" s="87" t="s">
        <v>54</v>
      </c>
      <c r="D66" s="83">
        <v>809.27</v>
      </c>
      <c r="E66" s="4"/>
      <c r="F66" s="4"/>
      <c r="G66" s="4"/>
    </row>
    <row r="67" spans="1:7">
      <c r="A67" s="153">
        <f t="shared" ref="A67:A70" si="4">A66+1</f>
        <v>54</v>
      </c>
      <c r="B67" s="84" t="s">
        <v>167</v>
      </c>
      <c r="C67" s="87" t="s">
        <v>54</v>
      </c>
      <c r="D67" s="83">
        <v>911.04</v>
      </c>
      <c r="E67" s="4"/>
      <c r="F67" s="4"/>
      <c r="G67" s="4"/>
    </row>
    <row r="68" spans="1:7">
      <c r="A68" s="153">
        <f t="shared" si="4"/>
        <v>55</v>
      </c>
      <c r="B68" s="84" t="s">
        <v>168</v>
      </c>
      <c r="C68" s="87" t="s">
        <v>54</v>
      </c>
      <c r="D68" s="83">
        <v>1972</v>
      </c>
      <c r="E68" s="4"/>
      <c r="F68" s="4"/>
      <c r="G68" s="4"/>
    </row>
    <row r="69" spans="1:7">
      <c r="A69" s="153">
        <f t="shared" si="4"/>
        <v>56</v>
      </c>
      <c r="B69" s="84" t="s">
        <v>210</v>
      </c>
      <c r="C69" s="87" t="s">
        <v>62</v>
      </c>
      <c r="D69" s="83">
        <v>525.81999999999994</v>
      </c>
      <c r="E69" s="4"/>
      <c r="F69" s="4"/>
      <c r="G69" s="4"/>
    </row>
    <row r="70" spans="1:7">
      <c r="A70" s="153">
        <f t="shared" si="4"/>
        <v>57</v>
      </c>
      <c r="B70" s="84" t="s">
        <v>211</v>
      </c>
      <c r="C70" s="87" t="s">
        <v>62</v>
      </c>
      <c r="D70" s="83">
        <v>601.46</v>
      </c>
      <c r="E70" s="4"/>
      <c r="F70" s="4"/>
      <c r="G70" s="4"/>
    </row>
    <row r="71" spans="1:7" ht="19.2" thickBot="1">
      <c r="A71" s="110"/>
      <c r="B71" s="84"/>
      <c r="C71" s="87"/>
      <c r="D71" s="83"/>
      <c r="E71" s="4"/>
      <c r="F71" s="4"/>
      <c r="G71" s="4"/>
    </row>
    <row r="72" spans="1:7" s="5" customFormat="1" ht="16.8" thickBot="1">
      <c r="A72" s="445" t="s">
        <v>649</v>
      </c>
      <c r="B72" s="446" t="s">
        <v>644</v>
      </c>
      <c r="C72" s="446"/>
      <c r="D72" s="446"/>
    </row>
    <row r="73" spans="1:7">
      <c r="A73" s="153">
        <f>A70+1</f>
        <v>58</v>
      </c>
      <c r="B73" s="84" t="s">
        <v>669</v>
      </c>
      <c r="C73" s="87" t="s">
        <v>54</v>
      </c>
      <c r="D73" s="83">
        <v>607.36</v>
      </c>
      <c r="E73" s="4"/>
      <c r="F73" s="4"/>
      <c r="G73" s="4"/>
    </row>
    <row r="74" spans="1:7">
      <c r="A74" s="153">
        <f>A73+1</f>
        <v>59</v>
      </c>
      <c r="B74" s="84" t="s">
        <v>670</v>
      </c>
      <c r="C74" s="87" t="s">
        <v>54</v>
      </c>
      <c r="D74" s="83">
        <v>707.49</v>
      </c>
      <c r="E74" s="4"/>
      <c r="F74" s="4"/>
      <c r="G74" s="4"/>
    </row>
    <row r="75" spans="1:7">
      <c r="A75" s="153">
        <f t="shared" ref="A75:A83" si="5">A74+1</f>
        <v>60</v>
      </c>
      <c r="B75" s="84" t="s">
        <v>172</v>
      </c>
      <c r="C75" s="87" t="s">
        <v>54</v>
      </c>
      <c r="D75" s="83">
        <v>809.27</v>
      </c>
      <c r="E75" s="11"/>
      <c r="F75" s="4"/>
      <c r="G75" s="4"/>
    </row>
    <row r="76" spans="1:7">
      <c r="A76" s="153">
        <f t="shared" si="5"/>
        <v>61</v>
      </c>
      <c r="B76" s="84" t="s">
        <v>173</v>
      </c>
      <c r="C76" s="87" t="s">
        <v>54</v>
      </c>
      <c r="D76" s="83">
        <v>1012.82</v>
      </c>
      <c r="E76" s="11"/>
      <c r="F76" s="4"/>
      <c r="G76" s="4"/>
    </row>
    <row r="77" spans="1:7">
      <c r="A77" s="153">
        <f t="shared" si="5"/>
        <v>62</v>
      </c>
      <c r="B77" s="84" t="s">
        <v>171</v>
      </c>
      <c r="C77" s="87" t="s">
        <v>54</v>
      </c>
      <c r="D77" s="83">
        <f>D75*2</f>
        <v>1618.54</v>
      </c>
      <c r="E77" s="4"/>
      <c r="F77" s="4"/>
      <c r="G77" s="4"/>
    </row>
    <row r="78" spans="1:7">
      <c r="A78" s="153">
        <f t="shared" si="5"/>
        <v>63</v>
      </c>
      <c r="B78" s="84" t="s">
        <v>174</v>
      </c>
      <c r="C78" s="87" t="s">
        <v>54</v>
      </c>
      <c r="D78" s="83">
        <v>809.27</v>
      </c>
      <c r="E78" s="4"/>
      <c r="F78" s="4"/>
      <c r="G78" s="4"/>
    </row>
    <row r="79" spans="1:7">
      <c r="A79" s="153">
        <f t="shared" si="5"/>
        <v>64</v>
      </c>
      <c r="B79" s="84" t="s">
        <v>175</v>
      </c>
      <c r="C79" s="87" t="s">
        <v>54</v>
      </c>
      <c r="D79" s="83">
        <v>1012.82</v>
      </c>
      <c r="E79" s="4"/>
      <c r="F79" s="4"/>
      <c r="G79" s="4"/>
    </row>
    <row r="80" spans="1:7">
      <c r="A80" s="153">
        <f t="shared" si="5"/>
        <v>65</v>
      </c>
      <c r="B80" s="84" t="s">
        <v>176</v>
      </c>
      <c r="C80" s="87" t="s">
        <v>54</v>
      </c>
      <c r="D80" s="83">
        <v>707.49</v>
      </c>
      <c r="E80" s="4"/>
      <c r="F80" s="4"/>
      <c r="G80" s="4"/>
    </row>
    <row r="81" spans="1:7">
      <c r="A81" s="153">
        <f t="shared" si="5"/>
        <v>66</v>
      </c>
      <c r="B81" s="84" t="s">
        <v>177</v>
      </c>
      <c r="C81" s="87" t="s">
        <v>54</v>
      </c>
      <c r="D81" s="83">
        <v>2430</v>
      </c>
      <c r="E81" s="4"/>
      <c r="F81" s="4"/>
      <c r="G81" s="4"/>
    </row>
    <row r="82" spans="1:7">
      <c r="A82" s="153">
        <f t="shared" si="5"/>
        <v>67</v>
      </c>
      <c r="B82" s="84" t="s">
        <v>178</v>
      </c>
      <c r="C82" s="87" t="s">
        <v>54</v>
      </c>
      <c r="D82" s="83">
        <v>2433.6</v>
      </c>
      <c r="E82" s="4"/>
      <c r="F82" s="4"/>
      <c r="G82" s="4"/>
    </row>
    <row r="83" spans="1:7">
      <c r="A83" s="153">
        <f t="shared" si="5"/>
        <v>68</v>
      </c>
      <c r="B83" s="84" t="s">
        <v>212</v>
      </c>
      <c r="C83" s="87" t="s">
        <v>62</v>
      </c>
      <c r="D83" s="83">
        <v>525.81999999999994</v>
      </c>
      <c r="E83" s="4"/>
      <c r="F83" s="4"/>
      <c r="G83" s="4"/>
    </row>
    <row r="84" spans="1:7" ht="19.2" thickBot="1">
      <c r="A84" s="138"/>
      <c r="B84" s="65"/>
      <c r="C84" s="54"/>
      <c r="D84" s="142"/>
      <c r="E84" s="4"/>
      <c r="F84" s="4"/>
      <c r="G84" s="4"/>
    </row>
    <row r="85" spans="1:7" s="5" customFormat="1" ht="16.8" thickBot="1">
      <c r="A85" s="445" t="s">
        <v>650</v>
      </c>
      <c r="B85" s="446" t="s">
        <v>644</v>
      </c>
      <c r="C85" s="446"/>
      <c r="D85" s="446"/>
    </row>
    <row r="86" spans="1:7" s="2" customFormat="1">
      <c r="A86" s="180">
        <f>A83+1</f>
        <v>69</v>
      </c>
      <c r="B86" s="84" t="s">
        <v>169</v>
      </c>
      <c r="C86" s="87" t="s">
        <v>54</v>
      </c>
      <c r="D86" s="83">
        <v>225</v>
      </c>
      <c r="E86" s="7"/>
      <c r="F86" s="7"/>
      <c r="G86" s="7"/>
    </row>
    <row r="87" spans="1:7" s="2" customFormat="1">
      <c r="A87" s="180">
        <f>A86+1</f>
        <v>70</v>
      </c>
      <c r="B87" s="84" t="s">
        <v>170</v>
      </c>
      <c r="C87" s="87" t="s">
        <v>54</v>
      </c>
      <c r="D87" s="83">
        <v>180</v>
      </c>
      <c r="E87" s="7"/>
      <c r="F87" s="7"/>
      <c r="G87" s="7"/>
    </row>
    <row r="88" spans="1:7" s="2" customFormat="1">
      <c r="A88" s="180">
        <f t="shared" ref="A88:A98" si="6">A87+1</f>
        <v>71</v>
      </c>
      <c r="B88" s="84" t="s">
        <v>589</v>
      </c>
      <c r="C88" s="87" t="s">
        <v>54</v>
      </c>
      <c r="D88" s="83">
        <v>148.44999999999999</v>
      </c>
      <c r="E88" s="7"/>
      <c r="F88" s="7"/>
      <c r="G88" s="7"/>
    </row>
    <row r="89" spans="1:7">
      <c r="A89" s="180">
        <f t="shared" si="6"/>
        <v>72</v>
      </c>
      <c r="B89" s="84" t="s">
        <v>671</v>
      </c>
      <c r="C89" s="87" t="s">
        <v>180</v>
      </c>
      <c r="D89" s="83">
        <v>8.5399999999999991</v>
      </c>
      <c r="E89" s="4"/>
      <c r="F89" s="4"/>
      <c r="G89" s="4"/>
    </row>
    <row r="90" spans="1:7">
      <c r="A90" s="180">
        <f t="shared" si="6"/>
        <v>73</v>
      </c>
      <c r="B90" s="84" t="s">
        <v>181</v>
      </c>
      <c r="C90" s="87" t="s">
        <v>180</v>
      </c>
      <c r="D90" s="83">
        <v>9.76</v>
      </c>
      <c r="E90" s="4"/>
      <c r="F90" s="4"/>
      <c r="G90" s="4"/>
    </row>
    <row r="91" spans="1:7">
      <c r="A91" s="180">
        <f t="shared" si="6"/>
        <v>74</v>
      </c>
      <c r="B91" s="84" t="s">
        <v>182</v>
      </c>
      <c r="C91" s="87" t="s">
        <v>180</v>
      </c>
      <c r="D91" s="83">
        <v>14.78</v>
      </c>
      <c r="E91" s="4"/>
      <c r="F91" s="4"/>
      <c r="G91" s="4"/>
    </row>
    <row r="92" spans="1:7">
      <c r="A92" s="180">
        <f t="shared" si="6"/>
        <v>75</v>
      </c>
      <c r="B92" s="84" t="s">
        <v>183</v>
      </c>
      <c r="C92" s="87" t="s">
        <v>180</v>
      </c>
      <c r="D92" s="83">
        <v>21.34</v>
      </c>
      <c r="E92" s="4"/>
      <c r="F92" s="4"/>
      <c r="G92" s="4"/>
    </row>
    <row r="93" spans="1:7">
      <c r="A93" s="180">
        <f t="shared" si="6"/>
        <v>76</v>
      </c>
      <c r="B93" s="84" t="s">
        <v>184</v>
      </c>
      <c r="C93" s="87" t="s">
        <v>180</v>
      </c>
      <c r="D93" s="83">
        <v>21.34</v>
      </c>
      <c r="E93" s="4"/>
      <c r="F93" s="4"/>
      <c r="G93" s="4"/>
    </row>
    <row r="94" spans="1:7">
      <c r="A94" s="180">
        <f t="shared" si="6"/>
        <v>77</v>
      </c>
      <c r="B94" s="84" t="s">
        <v>185</v>
      </c>
      <c r="C94" s="87" t="s">
        <v>180</v>
      </c>
      <c r="D94" s="83">
        <v>26.27</v>
      </c>
      <c r="E94" s="4"/>
      <c r="F94" s="4"/>
      <c r="G94" s="4"/>
    </row>
    <row r="95" spans="1:7">
      <c r="A95" s="180">
        <f t="shared" si="6"/>
        <v>78</v>
      </c>
      <c r="B95" s="84" t="s">
        <v>186</v>
      </c>
      <c r="C95" s="87" t="s">
        <v>180</v>
      </c>
      <c r="D95" s="83">
        <v>32.83</v>
      </c>
      <c r="E95" s="4"/>
      <c r="F95" s="4"/>
      <c r="G95" s="4"/>
    </row>
    <row r="96" spans="1:7">
      <c r="A96" s="180">
        <f t="shared" si="6"/>
        <v>79</v>
      </c>
      <c r="B96" s="84" t="s">
        <v>188</v>
      </c>
      <c r="C96" s="87" t="s">
        <v>54</v>
      </c>
      <c r="D96" s="83">
        <v>99</v>
      </c>
      <c r="E96" s="4"/>
      <c r="F96" s="4"/>
      <c r="G96" s="4"/>
    </row>
    <row r="97" spans="1:7">
      <c r="A97" s="180">
        <f t="shared" si="6"/>
        <v>80</v>
      </c>
      <c r="B97" s="84" t="s">
        <v>189</v>
      </c>
      <c r="C97" s="87" t="s">
        <v>54</v>
      </c>
      <c r="D97" s="83">
        <v>66</v>
      </c>
      <c r="E97" s="4"/>
      <c r="F97" s="4"/>
      <c r="G97" s="4"/>
    </row>
    <row r="98" spans="1:7">
      <c r="A98" s="180">
        <f t="shared" si="6"/>
        <v>81</v>
      </c>
      <c r="B98" s="84" t="s">
        <v>642</v>
      </c>
      <c r="C98" s="87" t="s">
        <v>54</v>
      </c>
      <c r="D98" s="83">
        <v>90</v>
      </c>
      <c r="E98" s="4"/>
      <c r="F98" s="4"/>
      <c r="G98" s="4"/>
    </row>
    <row r="99" spans="1:7" ht="19.2" thickBot="1">
      <c r="A99" s="138"/>
      <c r="B99" s="65"/>
      <c r="C99" s="54"/>
      <c r="D99" s="142"/>
      <c r="E99" s="4"/>
      <c r="F99" s="4"/>
      <c r="G99" s="4"/>
    </row>
    <row r="100" spans="1:7" s="5" customFormat="1" ht="16.8" thickBot="1">
      <c r="A100" s="445" t="s">
        <v>659</v>
      </c>
      <c r="B100" s="446" t="s">
        <v>644</v>
      </c>
      <c r="C100" s="446"/>
      <c r="D100" s="446"/>
    </row>
    <row r="101" spans="1:7">
      <c r="A101" s="153">
        <f>A98+1</f>
        <v>82</v>
      </c>
      <c r="B101" s="84" t="s">
        <v>619</v>
      </c>
      <c r="C101" s="87" t="s">
        <v>54</v>
      </c>
      <c r="D101" s="83">
        <v>809.27</v>
      </c>
      <c r="E101" s="4"/>
      <c r="F101" s="4"/>
      <c r="G101" s="4"/>
    </row>
    <row r="102" spans="1:7">
      <c r="A102" s="153">
        <f>A101+1</f>
        <v>83</v>
      </c>
      <c r="B102" s="84" t="s">
        <v>620</v>
      </c>
      <c r="C102" s="87" t="s">
        <v>54</v>
      </c>
      <c r="D102" s="83">
        <v>1012.82</v>
      </c>
      <c r="E102" s="4"/>
      <c r="F102" s="4"/>
      <c r="G102" s="4"/>
    </row>
    <row r="103" spans="1:7">
      <c r="A103" s="153">
        <f t="shared" ref="A103:A104" si="7">A102+1</f>
        <v>84</v>
      </c>
      <c r="B103" s="84" t="s">
        <v>621</v>
      </c>
      <c r="C103" s="87" t="s">
        <v>54</v>
      </c>
      <c r="D103" s="83">
        <v>1213.08</v>
      </c>
      <c r="E103" s="4"/>
      <c r="F103" s="4"/>
      <c r="G103" s="4"/>
    </row>
    <row r="104" spans="1:7">
      <c r="A104" s="153">
        <f t="shared" si="7"/>
        <v>85</v>
      </c>
      <c r="B104" s="84" t="s">
        <v>622</v>
      </c>
      <c r="C104" s="87" t="s">
        <v>54</v>
      </c>
      <c r="D104" s="83">
        <v>1416.63</v>
      </c>
      <c r="E104" s="4"/>
      <c r="F104" s="4"/>
      <c r="G104" s="4"/>
    </row>
    <row r="105" spans="1:7" ht="19.2" thickBot="1">
      <c r="A105" s="138"/>
      <c r="B105" s="65"/>
      <c r="C105" s="54"/>
      <c r="D105" s="142"/>
      <c r="E105" s="4"/>
      <c r="F105" s="4"/>
      <c r="G105" s="4"/>
    </row>
    <row r="106" spans="1:7" s="5" customFormat="1" ht="16.8" thickBot="1">
      <c r="A106" s="445" t="s">
        <v>660</v>
      </c>
      <c r="B106" s="446" t="s">
        <v>644</v>
      </c>
      <c r="C106" s="446"/>
      <c r="D106" s="446"/>
    </row>
    <row r="107" spans="1:7">
      <c r="A107" s="153">
        <f>A104+1</f>
        <v>86</v>
      </c>
      <c r="B107" s="84" t="s">
        <v>623</v>
      </c>
      <c r="C107" s="87" t="s">
        <v>54</v>
      </c>
      <c r="D107" s="83">
        <v>607.36</v>
      </c>
      <c r="E107" s="4"/>
      <c r="F107" s="4"/>
      <c r="G107" s="4"/>
    </row>
    <row r="108" spans="1:7">
      <c r="A108" s="153">
        <f t="shared" ref="A108:A110" si="8">A107+1</f>
        <v>87</v>
      </c>
      <c r="B108" s="84" t="s">
        <v>624</v>
      </c>
      <c r="C108" s="87" t="s">
        <v>54</v>
      </c>
      <c r="D108" s="83">
        <v>809.27</v>
      </c>
      <c r="E108" s="4"/>
      <c r="F108" s="4"/>
      <c r="G108" s="4"/>
    </row>
    <row r="109" spans="1:7">
      <c r="A109" s="153">
        <f t="shared" si="8"/>
        <v>88</v>
      </c>
      <c r="B109" s="84" t="s">
        <v>625</v>
      </c>
      <c r="C109" s="87" t="s">
        <v>54</v>
      </c>
      <c r="D109" s="83">
        <v>1012.82</v>
      </c>
      <c r="E109" s="4"/>
      <c r="F109" s="4"/>
      <c r="G109" s="4"/>
    </row>
    <row r="110" spans="1:7">
      <c r="A110" s="153">
        <f t="shared" si="8"/>
        <v>89</v>
      </c>
      <c r="B110" s="84" t="s">
        <v>626</v>
      </c>
      <c r="C110" s="87" t="s">
        <v>54</v>
      </c>
      <c r="D110" s="83">
        <v>1213.08</v>
      </c>
      <c r="E110" s="4"/>
      <c r="F110" s="4"/>
      <c r="G110" s="4"/>
    </row>
    <row r="111" spans="1:7" ht="19.2" thickBot="1">
      <c r="A111" s="138"/>
      <c r="B111" s="65"/>
      <c r="C111" s="54"/>
      <c r="D111" s="142"/>
      <c r="E111" s="4"/>
      <c r="F111" s="4"/>
      <c r="G111" s="4"/>
    </row>
    <row r="112" spans="1:7" s="5" customFormat="1" ht="16.8" thickBot="1">
      <c r="A112" s="445" t="s">
        <v>608</v>
      </c>
      <c r="B112" s="446" t="s">
        <v>644</v>
      </c>
      <c r="C112" s="446"/>
      <c r="D112" s="446"/>
    </row>
    <row r="113" spans="1:7">
      <c r="A113" s="153">
        <f>A110+1</f>
        <v>90</v>
      </c>
      <c r="B113" s="84" t="s">
        <v>609</v>
      </c>
      <c r="C113" s="87" t="s">
        <v>62</v>
      </c>
      <c r="D113" s="83">
        <v>44.32</v>
      </c>
      <c r="E113" s="11"/>
      <c r="F113" s="4"/>
      <c r="G113" s="4"/>
    </row>
    <row r="114" spans="1:7">
      <c r="A114" s="153">
        <f t="shared" ref="A114:A116" si="9">A113+1</f>
        <v>91</v>
      </c>
      <c r="B114" s="84" t="s">
        <v>610</v>
      </c>
      <c r="C114" s="87" t="s">
        <v>62</v>
      </c>
      <c r="D114" s="83">
        <v>54.17</v>
      </c>
      <c r="E114" s="11"/>
      <c r="F114" s="4"/>
      <c r="G114" s="4"/>
    </row>
    <row r="115" spans="1:7">
      <c r="A115" s="153">
        <f t="shared" si="9"/>
        <v>92</v>
      </c>
      <c r="B115" s="84" t="s">
        <v>611</v>
      </c>
      <c r="C115" s="87" t="s">
        <v>62</v>
      </c>
      <c r="D115" s="83">
        <v>90.29</v>
      </c>
      <c r="E115" s="11"/>
      <c r="F115" s="4"/>
      <c r="G115" s="4"/>
    </row>
    <row r="116" spans="1:7">
      <c r="A116" s="153">
        <f t="shared" si="9"/>
        <v>93</v>
      </c>
      <c r="B116" s="84" t="s">
        <v>612</v>
      </c>
      <c r="C116" s="87" t="s">
        <v>62</v>
      </c>
      <c r="D116" s="83">
        <v>113.26</v>
      </c>
      <c r="E116" s="11"/>
      <c r="F116" s="4"/>
      <c r="G116" s="4"/>
    </row>
    <row r="117" spans="1:7" ht="19.2" thickBot="1">
      <c r="A117" s="138"/>
      <c r="B117" s="65"/>
      <c r="C117" s="54"/>
      <c r="D117" s="142"/>
      <c r="E117" s="4"/>
      <c r="F117" s="4"/>
      <c r="G117" s="4"/>
    </row>
    <row r="118" spans="1:7" s="5" customFormat="1" ht="16.8" thickBot="1">
      <c r="A118" s="445" t="s">
        <v>628</v>
      </c>
      <c r="B118" s="446"/>
      <c r="C118" s="446"/>
      <c r="D118" s="446"/>
    </row>
    <row r="119" spans="1:7" s="2" customFormat="1">
      <c r="A119" s="153">
        <f>A116+1</f>
        <v>94</v>
      </c>
      <c r="B119" s="84" t="s">
        <v>641</v>
      </c>
      <c r="C119" s="87" t="s">
        <v>62</v>
      </c>
      <c r="D119" s="83">
        <v>39.4</v>
      </c>
      <c r="E119" s="7"/>
      <c r="F119" s="7"/>
      <c r="G119" s="7"/>
    </row>
    <row r="120" spans="1:7" s="2" customFormat="1">
      <c r="A120" s="153">
        <f t="shared" ref="A120:A129" si="10">A119+1</f>
        <v>95</v>
      </c>
      <c r="B120" s="84" t="s">
        <v>640</v>
      </c>
      <c r="C120" s="87" t="s">
        <v>62</v>
      </c>
      <c r="D120" s="83">
        <v>42.68</v>
      </c>
      <c r="E120" s="7"/>
      <c r="F120" s="7"/>
      <c r="G120" s="7"/>
    </row>
    <row r="121" spans="1:7">
      <c r="A121" s="153">
        <f t="shared" si="10"/>
        <v>96</v>
      </c>
      <c r="B121" s="84" t="s">
        <v>639</v>
      </c>
      <c r="C121" s="87" t="s">
        <v>62</v>
      </c>
      <c r="D121" s="83">
        <v>29.97</v>
      </c>
      <c r="E121" s="4"/>
      <c r="F121" s="4"/>
      <c r="G121" s="4"/>
    </row>
    <row r="122" spans="1:7">
      <c r="A122" s="153">
        <f t="shared" si="10"/>
        <v>97</v>
      </c>
      <c r="B122" s="84" t="s">
        <v>638</v>
      </c>
      <c r="C122" s="87" t="s">
        <v>62</v>
      </c>
      <c r="D122" s="83">
        <v>32.83</v>
      </c>
      <c r="E122" s="4"/>
      <c r="F122" s="4"/>
      <c r="G122" s="4"/>
    </row>
    <row r="123" spans="1:7">
      <c r="A123" s="153">
        <f t="shared" si="10"/>
        <v>98</v>
      </c>
      <c r="B123" s="84" t="s">
        <v>637</v>
      </c>
      <c r="C123" s="87" t="s">
        <v>62</v>
      </c>
      <c r="D123" s="83">
        <v>21.34</v>
      </c>
      <c r="E123" s="4"/>
      <c r="F123" s="4"/>
      <c r="G123" s="4"/>
    </row>
    <row r="124" spans="1:7">
      <c r="A124" s="153">
        <f t="shared" si="10"/>
        <v>99</v>
      </c>
      <c r="B124" s="84" t="s">
        <v>636</v>
      </c>
      <c r="C124" s="87" t="s">
        <v>62</v>
      </c>
      <c r="D124" s="83">
        <v>24.62</v>
      </c>
      <c r="E124" s="4"/>
      <c r="F124" s="4"/>
      <c r="G124" s="4"/>
    </row>
    <row r="125" spans="1:7">
      <c r="A125" s="153">
        <f t="shared" si="10"/>
        <v>100</v>
      </c>
      <c r="B125" s="84" t="s">
        <v>635</v>
      </c>
      <c r="C125" s="87" t="s">
        <v>62</v>
      </c>
      <c r="D125" s="83">
        <v>5.99</v>
      </c>
      <c r="E125" s="4"/>
      <c r="F125" s="4"/>
      <c r="G125" s="4"/>
    </row>
    <row r="126" spans="1:7">
      <c r="A126" s="153">
        <f t="shared" si="10"/>
        <v>101</v>
      </c>
      <c r="B126" s="84" t="s">
        <v>634</v>
      </c>
      <c r="C126" s="87" t="s">
        <v>62</v>
      </c>
      <c r="D126" s="83">
        <v>5.99</v>
      </c>
      <c r="E126" s="4"/>
      <c r="F126" s="4"/>
      <c r="G126" s="4"/>
    </row>
    <row r="127" spans="1:7">
      <c r="A127" s="153">
        <f t="shared" si="10"/>
        <v>102</v>
      </c>
      <c r="B127" s="84" t="s">
        <v>633</v>
      </c>
      <c r="C127" s="87" t="s">
        <v>62</v>
      </c>
      <c r="D127" s="83">
        <v>11.98</v>
      </c>
      <c r="E127" s="4"/>
      <c r="F127" s="4"/>
      <c r="G127" s="4"/>
    </row>
    <row r="128" spans="1:7">
      <c r="A128" s="153">
        <f t="shared" si="10"/>
        <v>103</v>
      </c>
      <c r="B128" s="84" t="s">
        <v>632</v>
      </c>
      <c r="C128" s="87" t="s">
        <v>62</v>
      </c>
      <c r="D128" s="83">
        <v>14.98</v>
      </c>
      <c r="E128" s="4"/>
      <c r="F128" s="4"/>
      <c r="G128" s="4"/>
    </row>
    <row r="129" spans="1:7">
      <c r="A129" s="153">
        <f t="shared" si="10"/>
        <v>104</v>
      </c>
      <c r="B129" s="84" t="s">
        <v>187</v>
      </c>
      <c r="C129" s="87" t="s">
        <v>62</v>
      </c>
      <c r="D129" s="83">
        <v>14.98</v>
      </c>
      <c r="E129" s="4"/>
      <c r="F129" s="4"/>
      <c r="G129" s="4"/>
    </row>
    <row r="130" spans="1:7" ht="19.2" thickBot="1">
      <c r="A130" s="138"/>
      <c r="B130" s="65"/>
      <c r="C130" s="54"/>
      <c r="D130" s="142"/>
      <c r="E130" s="4"/>
      <c r="F130" s="4"/>
      <c r="G130" s="4"/>
    </row>
    <row r="131" spans="1:7" s="5" customFormat="1" ht="16.8" thickBot="1">
      <c r="A131" s="445" t="s">
        <v>627</v>
      </c>
      <c r="B131" s="446"/>
      <c r="C131" s="446"/>
      <c r="D131" s="446"/>
    </row>
    <row r="132" spans="1:7">
      <c r="A132" s="153">
        <f>A129+1</f>
        <v>105</v>
      </c>
      <c r="B132" s="84" t="s">
        <v>193</v>
      </c>
      <c r="C132" s="87" t="s">
        <v>54</v>
      </c>
      <c r="D132" s="83">
        <v>911.04</v>
      </c>
      <c r="E132" s="4"/>
      <c r="F132" s="4"/>
      <c r="G132" s="4"/>
    </row>
    <row r="133" spans="1:7">
      <c r="A133" s="153">
        <f t="shared" ref="A133:A143" si="11">A132+1</f>
        <v>106</v>
      </c>
      <c r="B133" s="84" t="s">
        <v>194</v>
      </c>
      <c r="C133" s="87" t="s">
        <v>54</v>
      </c>
      <c r="D133" s="83">
        <v>403.81</v>
      </c>
      <c r="E133" s="4"/>
      <c r="F133" s="4"/>
      <c r="G133" s="4"/>
    </row>
    <row r="134" spans="1:7">
      <c r="A134" s="153">
        <f t="shared" si="11"/>
        <v>107</v>
      </c>
      <c r="B134" s="84" t="s">
        <v>195</v>
      </c>
      <c r="C134" s="87" t="s">
        <v>54</v>
      </c>
      <c r="D134" s="83">
        <v>607.36</v>
      </c>
      <c r="E134" s="4"/>
      <c r="F134" s="4"/>
      <c r="G134" s="4"/>
    </row>
    <row r="135" spans="1:7">
      <c r="A135" s="153">
        <f t="shared" si="11"/>
        <v>108</v>
      </c>
      <c r="B135" s="84" t="s">
        <v>196</v>
      </c>
      <c r="C135" s="87" t="s">
        <v>54</v>
      </c>
      <c r="D135" s="83">
        <v>1111.3</v>
      </c>
      <c r="E135" s="4"/>
      <c r="F135" s="4"/>
      <c r="G135" s="4"/>
    </row>
    <row r="136" spans="1:7">
      <c r="A136" s="153">
        <f t="shared" si="11"/>
        <v>109</v>
      </c>
      <c r="B136" s="84" t="s">
        <v>197</v>
      </c>
      <c r="C136" s="87" t="s">
        <v>54</v>
      </c>
      <c r="D136" s="83">
        <f>D135*1.1</f>
        <v>1222.43</v>
      </c>
      <c r="E136" s="4"/>
      <c r="F136" s="4"/>
      <c r="G136" s="4"/>
    </row>
    <row r="137" spans="1:7">
      <c r="A137" s="153">
        <f t="shared" si="11"/>
        <v>110</v>
      </c>
      <c r="B137" s="84" t="s">
        <v>198</v>
      </c>
      <c r="C137" s="87" t="s">
        <v>54</v>
      </c>
      <c r="D137" s="83">
        <f>D136*1.1</f>
        <v>1344.6730000000002</v>
      </c>
      <c r="E137" s="4"/>
      <c r="F137" s="4"/>
      <c r="G137" s="4"/>
    </row>
    <row r="138" spans="1:7">
      <c r="A138" s="153">
        <f t="shared" si="11"/>
        <v>111</v>
      </c>
      <c r="B138" s="84" t="s">
        <v>199</v>
      </c>
      <c r="C138" s="87" t="s">
        <v>54</v>
      </c>
      <c r="D138" s="83">
        <f>D137*1.1</f>
        <v>1479.1403000000005</v>
      </c>
      <c r="E138" s="4"/>
      <c r="F138" s="4"/>
      <c r="G138" s="4"/>
    </row>
    <row r="139" spans="1:7">
      <c r="A139" s="153">
        <f t="shared" si="11"/>
        <v>112</v>
      </c>
      <c r="B139" s="84" t="s">
        <v>200</v>
      </c>
      <c r="C139" s="87" t="s">
        <v>54</v>
      </c>
      <c r="D139" s="83">
        <f>D138*1.1</f>
        <v>1627.0543300000006</v>
      </c>
      <c r="E139" s="4"/>
      <c r="F139" s="4"/>
      <c r="G139" s="4"/>
    </row>
    <row r="140" spans="1:7" ht="30.75" customHeight="1">
      <c r="A140" s="153">
        <f t="shared" si="11"/>
        <v>113</v>
      </c>
      <c r="B140" s="105" t="s">
        <v>581</v>
      </c>
      <c r="C140" s="87" t="s">
        <v>54</v>
      </c>
      <c r="D140" s="83">
        <v>1618.53</v>
      </c>
      <c r="E140" s="4"/>
      <c r="F140" s="4"/>
      <c r="G140" s="4"/>
    </row>
    <row r="141" spans="1:7">
      <c r="A141" s="153">
        <f t="shared" si="11"/>
        <v>114</v>
      </c>
      <c r="B141" s="84" t="s">
        <v>582</v>
      </c>
      <c r="C141" s="87" t="s">
        <v>54</v>
      </c>
      <c r="D141" s="83">
        <v>1541.15</v>
      </c>
      <c r="E141" s="4"/>
      <c r="F141" s="4"/>
      <c r="G141" s="4"/>
    </row>
    <row r="142" spans="1:7">
      <c r="A142" s="153">
        <f t="shared" si="11"/>
        <v>115</v>
      </c>
      <c r="B142" s="84" t="s">
        <v>583</v>
      </c>
      <c r="C142" s="87" t="s">
        <v>54</v>
      </c>
      <c r="D142" s="83">
        <v>1416.63</v>
      </c>
      <c r="E142" s="4"/>
      <c r="F142" s="4"/>
      <c r="G142" s="4"/>
    </row>
    <row r="143" spans="1:7">
      <c r="A143" s="153">
        <f t="shared" si="11"/>
        <v>116</v>
      </c>
      <c r="B143" s="84" t="s">
        <v>584</v>
      </c>
      <c r="C143" s="87" t="s">
        <v>54</v>
      </c>
      <c r="D143" s="83">
        <v>1213.08</v>
      </c>
      <c r="E143" s="4"/>
      <c r="F143" s="4"/>
      <c r="G143" s="4"/>
    </row>
    <row r="144" spans="1:7" s="2" customFormat="1" ht="19.2" thickBot="1">
      <c r="A144" s="85"/>
      <c r="B144" s="84"/>
      <c r="C144" s="87"/>
      <c r="D144" s="83"/>
      <c r="E144" s="7"/>
      <c r="F144" s="7"/>
      <c r="G144" s="7"/>
    </row>
    <row r="145" spans="1:8" s="5" customFormat="1" ht="16.8" thickBot="1">
      <c r="A145" s="445" t="s">
        <v>652</v>
      </c>
      <c r="B145" s="446" t="s">
        <v>644</v>
      </c>
      <c r="C145" s="446"/>
      <c r="D145" s="446"/>
    </row>
    <row r="146" spans="1:8">
      <c r="A146" s="153">
        <f>A143+1</f>
        <v>117</v>
      </c>
      <c r="B146" s="84" t="s">
        <v>203</v>
      </c>
      <c r="C146" s="87" t="s">
        <v>62</v>
      </c>
      <c r="D146" s="83">
        <v>26.27</v>
      </c>
      <c r="E146" s="4"/>
      <c r="F146" s="4"/>
      <c r="G146" s="4"/>
    </row>
    <row r="147" spans="1:8">
      <c r="A147" s="153">
        <f t="shared" ref="A147:A155" si="12">A146+1</f>
        <v>118</v>
      </c>
      <c r="B147" s="84" t="s">
        <v>204</v>
      </c>
      <c r="C147" s="87" t="s">
        <v>62</v>
      </c>
      <c r="D147" s="83">
        <v>32.83</v>
      </c>
      <c r="E147" s="4"/>
      <c r="F147" s="4"/>
      <c r="G147" s="4"/>
    </row>
    <row r="148" spans="1:8">
      <c r="A148" s="153">
        <f t="shared" si="12"/>
        <v>119</v>
      </c>
      <c r="B148" s="84" t="s">
        <v>205</v>
      </c>
      <c r="C148" s="87" t="s">
        <v>62</v>
      </c>
      <c r="D148" s="83">
        <v>39.4</v>
      </c>
      <c r="E148" s="4"/>
      <c r="F148" s="4"/>
      <c r="G148" s="4"/>
    </row>
    <row r="149" spans="1:8">
      <c r="A149" s="153">
        <f t="shared" si="12"/>
        <v>120</v>
      </c>
      <c r="B149" s="84" t="s">
        <v>206</v>
      </c>
      <c r="C149" s="87" t="s">
        <v>62</v>
      </c>
      <c r="D149" s="83">
        <v>44.32</v>
      </c>
      <c r="E149" s="4"/>
      <c r="F149" s="4"/>
      <c r="G149" s="4"/>
    </row>
    <row r="150" spans="1:8">
      <c r="A150" s="153">
        <f t="shared" si="12"/>
        <v>121</v>
      </c>
      <c r="B150" s="84" t="s">
        <v>653</v>
      </c>
      <c r="C150" s="87" t="s">
        <v>62</v>
      </c>
      <c r="D150" s="83">
        <v>54.17</v>
      </c>
      <c r="E150" s="4"/>
      <c r="F150" s="4"/>
      <c r="G150" s="4"/>
    </row>
    <row r="151" spans="1:8">
      <c r="A151" s="153">
        <f t="shared" si="12"/>
        <v>122</v>
      </c>
      <c r="B151" s="84" t="s">
        <v>654</v>
      </c>
      <c r="C151" s="87" t="s">
        <v>62</v>
      </c>
      <c r="D151" s="83">
        <v>68.94</v>
      </c>
      <c r="E151" s="4"/>
      <c r="F151" s="4"/>
      <c r="G151" s="4"/>
      <c r="H151" s="86"/>
    </row>
    <row r="152" spans="1:8">
      <c r="A152" s="153">
        <f t="shared" si="12"/>
        <v>123</v>
      </c>
      <c r="B152" s="84" t="s">
        <v>655</v>
      </c>
      <c r="C152" s="87" t="s">
        <v>62</v>
      </c>
      <c r="D152" s="83">
        <v>77.150000000000006</v>
      </c>
      <c r="E152" s="4"/>
      <c r="F152" s="4"/>
      <c r="G152" s="4"/>
    </row>
    <row r="153" spans="1:8">
      <c r="A153" s="153">
        <f t="shared" si="12"/>
        <v>124</v>
      </c>
      <c r="B153" s="84" t="s">
        <v>618</v>
      </c>
      <c r="C153" s="87" t="s">
        <v>62</v>
      </c>
      <c r="D153" s="83">
        <v>21.34</v>
      </c>
      <c r="E153" s="4"/>
      <c r="F153" s="4"/>
      <c r="G153" s="4"/>
    </row>
    <row r="154" spans="1:8">
      <c r="A154" s="153">
        <f t="shared" si="12"/>
        <v>125</v>
      </c>
      <c r="B154" s="84" t="s">
        <v>207</v>
      </c>
      <c r="C154" s="87" t="s">
        <v>54</v>
      </c>
      <c r="D154" s="83">
        <v>42</v>
      </c>
      <c r="E154" s="4"/>
      <c r="F154" s="4"/>
      <c r="G154" s="4"/>
    </row>
    <row r="155" spans="1:8">
      <c r="A155" s="153">
        <f t="shared" si="12"/>
        <v>126</v>
      </c>
      <c r="B155" s="84" t="s">
        <v>208</v>
      </c>
      <c r="C155" s="87" t="s">
        <v>54</v>
      </c>
      <c r="D155" s="83">
        <v>33</v>
      </c>
      <c r="E155" s="4"/>
      <c r="F155" s="4"/>
      <c r="G155" s="4"/>
    </row>
    <row r="156" spans="1:8" ht="19.2" thickBot="1">
      <c r="A156" s="138"/>
      <c r="B156" s="65"/>
      <c r="C156" s="54"/>
      <c r="D156" s="142"/>
      <c r="E156" s="4"/>
      <c r="F156" s="4"/>
      <c r="G156" s="4"/>
    </row>
    <row r="157" spans="1:8" s="5" customFormat="1" ht="16.8" thickBot="1">
      <c r="A157" s="445" t="s">
        <v>629</v>
      </c>
      <c r="B157" s="446" t="s">
        <v>644</v>
      </c>
      <c r="C157" s="446"/>
      <c r="D157" s="446"/>
    </row>
    <row r="158" spans="1:8">
      <c r="A158" s="153">
        <f>A155+1</f>
        <v>127</v>
      </c>
      <c r="B158" s="84" t="s">
        <v>590</v>
      </c>
      <c r="C158" s="87" t="s">
        <v>62</v>
      </c>
      <c r="D158" s="83">
        <v>44.32</v>
      </c>
      <c r="E158" s="4"/>
      <c r="F158" s="4"/>
      <c r="G158" s="4"/>
    </row>
    <row r="159" spans="1:8">
      <c r="A159" s="153">
        <f t="shared" ref="A159:A163" si="13">A158+1</f>
        <v>128</v>
      </c>
      <c r="B159" s="84" t="s">
        <v>591</v>
      </c>
      <c r="C159" s="87" t="s">
        <v>62</v>
      </c>
      <c r="D159" s="83">
        <v>54.17</v>
      </c>
      <c r="E159" s="4"/>
      <c r="F159" s="4"/>
      <c r="G159" s="4"/>
    </row>
    <row r="160" spans="1:8">
      <c r="A160" s="153">
        <f t="shared" si="13"/>
        <v>129</v>
      </c>
      <c r="B160" s="84" t="s">
        <v>592</v>
      </c>
      <c r="C160" s="87" t="s">
        <v>62</v>
      </c>
      <c r="D160" s="83">
        <v>68.94</v>
      </c>
      <c r="E160" s="4"/>
      <c r="F160" s="4"/>
      <c r="G160" s="4"/>
    </row>
    <row r="161" spans="1:7">
      <c r="A161" s="153">
        <f t="shared" si="13"/>
        <v>130</v>
      </c>
      <c r="B161" s="84" t="s">
        <v>593</v>
      </c>
      <c r="C161" s="87" t="s">
        <v>62</v>
      </c>
      <c r="D161" s="83">
        <v>77.150000000000006</v>
      </c>
      <c r="E161" s="4"/>
      <c r="F161" s="4"/>
      <c r="G161" s="4"/>
    </row>
    <row r="162" spans="1:7">
      <c r="A162" s="153">
        <f t="shared" si="13"/>
        <v>131</v>
      </c>
      <c r="B162" s="84" t="s">
        <v>594</v>
      </c>
      <c r="C162" s="87" t="s">
        <v>62</v>
      </c>
      <c r="D162" s="83">
        <v>105.05</v>
      </c>
      <c r="E162" s="4"/>
      <c r="F162" s="4"/>
      <c r="G162" s="4"/>
    </row>
    <row r="163" spans="1:7">
      <c r="A163" s="153">
        <f t="shared" si="13"/>
        <v>132</v>
      </c>
      <c r="B163" s="84" t="s">
        <v>595</v>
      </c>
      <c r="C163" s="87" t="s">
        <v>62</v>
      </c>
      <c r="D163" s="83">
        <v>162.51</v>
      </c>
      <c r="E163" s="4"/>
      <c r="F163" s="4"/>
      <c r="G163" s="4"/>
    </row>
    <row r="164" spans="1:7" ht="19.2" thickBot="1">
      <c r="A164" s="138"/>
      <c r="B164" s="65"/>
      <c r="C164" s="54"/>
      <c r="D164" s="142"/>
      <c r="E164" s="4"/>
      <c r="F164" s="4"/>
      <c r="G164" s="4"/>
    </row>
    <row r="165" spans="1:7" s="5" customFormat="1" ht="24" customHeight="1" thickBot="1">
      <c r="A165" s="445" t="s">
        <v>565</v>
      </c>
      <c r="B165" s="446"/>
      <c r="C165" s="446"/>
      <c r="D165" s="446"/>
    </row>
    <row r="166" spans="1:7">
      <c r="A166" s="153">
        <f>A163+1</f>
        <v>133</v>
      </c>
      <c r="B166" s="84" t="s">
        <v>604</v>
      </c>
      <c r="C166" s="87" t="s">
        <v>54</v>
      </c>
      <c r="D166" s="83">
        <v>3639.23</v>
      </c>
      <c r="E166" s="4"/>
      <c r="F166" s="4"/>
      <c r="G166" s="4"/>
    </row>
    <row r="167" spans="1:7">
      <c r="A167" s="153">
        <f t="shared" ref="A167:A191" si="14">A166+1</f>
        <v>134</v>
      </c>
      <c r="B167" s="84" t="s">
        <v>605</v>
      </c>
      <c r="C167" s="87" t="s">
        <v>54</v>
      </c>
      <c r="D167" s="83">
        <v>3639.23</v>
      </c>
      <c r="E167" s="4"/>
      <c r="F167" s="4"/>
      <c r="G167" s="4"/>
    </row>
    <row r="168" spans="1:7">
      <c r="A168" s="153">
        <f t="shared" si="14"/>
        <v>135</v>
      </c>
      <c r="B168" s="84" t="s">
        <v>606</v>
      </c>
      <c r="C168" s="87" t="s">
        <v>54</v>
      </c>
      <c r="D168" s="83">
        <v>4044.68</v>
      </c>
      <c r="E168" s="4"/>
      <c r="F168" s="4"/>
      <c r="G168" s="4"/>
    </row>
    <row r="169" spans="1:7">
      <c r="A169" s="153">
        <f t="shared" si="14"/>
        <v>136</v>
      </c>
      <c r="B169" s="84" t="s">
        <v>607</v>
      </c>
      <c r="C169" s="87" t="s">
        <v>54</v>
      </c>
      <c r="D169" s="83">
        <v>4448.49</v>
      </c>
      <c r="E169" s="4"/>
      <c r="F169" s="4"/>
      <c r="G169" s="4"/>
    </row>
    <row r="170" spans="1:7">
      <c r="A170" s="153">
        <f t="shared" si="14"/>
        <v>137</v>
      </c>
      <c r="B170" s="84" t="s">
        <v>213</v>
      </c>
      <c r="C170" s="87" t="s">
        <v>54</v>
      </c>
      <c r="D170" s="83">
        <v>1110</v>
      </c>
      <c r="E170" s="4"/>
      <c r="F170" s="4"/>
      <c r="G170" s="4"/>
    </row>
    <row r="171" spans="1:7">
      <c r="A171" s="153">
        <f t="shared" si="14"/>
        <v>138</v>
      </c>
      <c r="B171" s="84" t="s">
        <v>586</v>
      </c>
      <c r="C171" s="87" t="s">
        <v>54</v>
      </c>
      <c r="D171" s="83">
        <v>3164.55</v>
      </c>
      <c r="E171" s="4"/>
      <c r="F171" s="4"/>
      <c r="G171" s="4"/>
    </row>
    <row r="172" spans="1:7">
      <c r="A172" s="153">
        <f t="shared" si="14"/>
        <v>139</v>
      </c>
      <c r="B172" s="84" t="s">
        <v>587</v>
      </c>
      <c r="C172" s="87" t="s">
        <v>54</v>
      </c>
      <c r="D172" s="83">
        <v>3517.12</v>
      </c>
      <c r="E172" s="4"/>
      <c r="F172" s="4"/>
      <c r="G172" s="4"/>
    </row>
    <row r="173" spans="1:7">
      <c r="A173" s="153">
        <f t="shared" si="14"/>
        <v>140</v>
      </c>
      <c r="B173" s="84" t="s">
        <v>588</v>
      </c>
      <c r="C173" s="87" t="s">
        <v>54</v>
      </c>
      <c r="D173" s="83">
        <v>3868.26</v>
      </c>
      <c r="E173" s="4"/>
      <c r="F173" s="4"/>
      <c r="G173" s="4"/>
    </row>
    <row r="174" spans="1:7">
      <c r="A174" s="153">
        <f t="shared" si="14"/>
        <v>141</v>
      </c>
      <c r="B174" s="84" t="s">
        <v>214</v>
      </c>
      <c r="C174" s="87" t="s">
        <v>54</v>
      </c>
      <c r="D174" s="83">
        <v>200</v>
      </c>
      <c r="E174" s="4"/>
      <c r="F174" s="4"/>
      <c r="G174" s="4"/>
    </row>
    <row r="175" spans="1:7">
      <c r="A175" s="153">
        <f t="shared" si="14"/>
        <v>142</v>
      </c>
      <c r="B175" s="84" t="s">
        <v>215</v>
      </c>
      <c r="C175" s="87" t="s">
        <v>54</v>
      </c>
      <c r="D175" s="83">
        <v>4000</v>
      </c>
      <c r="E175" s="4"/>
      <c r="F175" s="4"/>
      <c r="G175" s="4"/>
    </row>
    <row r="176" spans="1:7">
      <c r="A176" s="153">
        <f t="shared" si="14"/>
        <v>143</v>
      </c>
      <c r="B176" s="84" t="s">
        <v>216</v>
      </c>
      <c r="C176" s="87" t="s">
        <v>54</v>
      </c>
      <c r="D176" s="83">
        <v>1200</v>
      </c>
      <c r="E176" s="4"/>
      <c r="F176" s="4"/>
      <c r="G176" s="4"/>
    </row>
    <row r="177" spans="1:7">
      <c r="A177" s="153">
        <f t="shared" si="14"/>
        <v>144</v>
      </c>
      <c r="B177" s="84" t="s">
        <v>217</v>
      </c>
      <c r="C177" s="87" t="s">
        <v>54</v>
      </c>
      <c r="D177" s="83">
        <v>2000</v>
      </c>
      <c r="E177" s="4"/>
      <c r="F177" s="4"/>
      <c r="G177" s="4"/>
    </row>
    <row r="178" spans="1:7">
      <c r="A178" s="153">
        <f t="shared" si="14"/>
        <v>145</v>
      </c>
      <c r="B178" s="84" t="s">
        <v>292</v>
      </c>
      <c r="C178" s="87" t="s">
        <v>54</v>
      </c>
      <c r="D178" s="83">
        <v>1500</v>
      </c>
      <c r="E178" s="4"/>
      <c r="F178" s="4"/>
      <c r="G178" s="4"/>
    </row>
    <row r="179" spans="1:7">
      <c r="A179" s="153">
        <f t="shared" si="14"/>
        <v>146</v>
      </c>
      <c r="B179" s="84" t="s">
        <v>700</v>
      </c>
      <c r="C179" s="87" t="s">
        <v>54</v>
      </c>
      <c r="D179" s="83">
        <v>1500</v>
      </c>
      <c r="E179" s="4"/>
      <c r="F179" s="4"/>
      <c r="G179" s="4"/>
    </row>
    <row r="180" spans="1:7">
      <c r="A180" s="153">
        <f t="shared" si="14"/>
        <v>147</v>
      </c>
      <c r="B180" s="84" t="s">
        <v>667</v>
      </c>
      <c r="C180" s="87" t="s">
        <v>54</v>
      </c>
      <c r="D180" s="83">
        <v>1822.07</v>
      </c>
      <c r="E180" s="4"/>
      <c r="F180" s="4"/>
      <c r="G180" s="4"/>
    </row>
    <row r="181" spans="1:7">
      <c r="A181" s="153">
        <f t="shared" si="14"/>
        <v>148</v>
      </c>
      <c r="B181" s="84" t="s">
        <v>668</v>
      </c>
      <c r="C181" s="87" t="s">
        <v>54</v>
      </c>
      <c r="D181" s="83">
        <v>2831.3</v>
      </c>
      <c r="E181" s="4"/>
      <c r="F181" s="4"/>
      <c r="G181" s="4"/>
    </row>
    <row r="182" spans="1:7">
      <c r="A182" s="153">
        <f t="shared" si="14"/>
        <v>149</v>
      </c>
      <c r="B182" s="84" t="s">
        <v>603</v>
      </c>
      <c r="C182" s="87" t="s">
        <v>54</v>
      </c>
      <c r="D182" s="83">
        <v>1111.3</v>
      </c>
      <c r="E182" s="4"/>
      <c r="F182" s="4"/>
      <c r="G182" s="4"/>
    </row>
    <row r="183" spans="1:7">
      <c r="A183" s="153">
        <f t="shared" si="14"/>
        <v>150</v>
      </c>
      <c r="B183" s="84" t="s">
        <v>631</v>
      </c>
      <c r="C183" s="87" t="s">
        <v>54</v>
      </c>
      <c r="D183" s="83">
        <v>2462</v>
      </c>
      <c r="E183" s="4"/>
      <c r="F183" s="4"/>
      <c r="G183" s="4"/>
    </row>
    <row r="184" spans="1:7">
      <c r="A184" s="153">
        <f t="shared" si="14"/>
        <v>151</v>
      </c>
      <c r="B184" s="84" t="s">
        <v>585</v>
      </c>
      <c r="C184" s="87" t="s">
        <v>54</v>
      </c>
      <c r="D184" s="83">
        <v>1584.41</v>
      </c>
      <c r="E184" s="4"/>
      <c r="F184" s="4"/>
      <c r="G184" s="4"/>
    </row>
    <row r="185" spans="1:7">
      <c r="A185" s="153">
        <f t="shared" si="14"/>
        <v>152</v>
      </c>
      <c r="B185" s="84" t="s">
        <v>190</v>
      </c>
      <c r="C185" s="87" t="s">
        <v>54</v>
      </c>
      <c r="D185" s="83">
        <v>825.94</v>
      </c>
      <c r="E185" s="4"/>
      <c r="F185" s="4"/>
      <c r="G185" s="4"/>
    </row>
    <row r="186" spans="1:7">
      <c r="A186" s="153">
        <f t="shared" si="14"/>
        <v>153</v>
      </c>
      <c r="B186" s="84" t="s">
        <v>192</v>
      </c>
      <c r="C186" s="87" t="s">
        <v>191</v>
      </c>
      <c r="D186" s="83">
        <v>2500</v>
      </c>
      <c r="E186" s="4"/>
      <c r="F186" s="4"/>
      <c r="G186" s="4"/>
    </row>
    <row r="187" spans="1:7" ht="32.4">
      <c r="A187" s="153">
        <f t="shared" si="14"/>
        <v>154</v>
      </c>
      <c r="B187" s="105" t="s">
        <v>617</v>
      </c>
      <c r="C187" s="87" t="s">
        <v>54</v>
      </c>
      <c r="D187" s="83">
        <v>8089.36</v>
      </c>
      <c r="E187" s="4"/>
      <c r="F187" s="4"/>
      <c r="G187" s="4"/>
    </row>
    <row r="188" spans="1:7">
      <c r="A188" s="153">
        <f t="shared" si="14"/>
        <v>155</v>
      </c>
      <c r="B188" s="84" t="s">
        <v>209</v>
      </c>
      <c r="C188" s="87" t="s">
        <v>54</v>
      </c>
      <c r="D188" s="83">
        <v>1500</v>
      </c>
      <c r="E188" s="4"/>
      <c r="F188" s="4"/>
      <c r="G188" s="4"/>
    </row>
    <row r="189" spans="1:7">
      <c r="A189" s="153">
        <f t="shared" si="14"/>
        <v>156</v>
      </c>
      <c r="B189" s="84" t="s">
        <v>656</v>
      </c>
      <c r="C189" s="87" t="s">
        <v>54</v>
      </c>
      <c r="D189" s="83">
        <v>134.61000000000001</v>
      </c>
      <c r="E189" s="148"/>
      <c r="F189" s="4"/>
      <c r="G189" s="4"/>
    </row>
    <row r="190" spans="1:7">
      <c r="A190" s="153">
        <f t="shared" si="14"/>
        <v>157</v>
      </c>
      <c r="B190" s="84" t="s">
        <v>657</v>
      </c>
      <c r="C190" s="87" t="s">
        <v>54</v>
      </c>
      <c r="D190" s="83">
        <v>113.26</v>
      </c>
      <c r="E190" s="148"/>
      <c r="F190" s="4"/>
      <c r="G190" s="4"/>
    </row>
    <row r="191" spans="1:7">
      <c r="A191" s="153">
        <f t="shared" si="14"/>
        <v>158</v>
      </c>
      <c r="B191" s="84" t="s">
        <v>658</v>
      </c>
      <c r="C191" s="87" t="s">
        <v>54</v>
      </c>
      <c r="D191" s="83">
        <v>3438.96</v>
      </c>
      <c r="E191" s="4"/>
      <c r="F191" s="4"/>
      <c r="G191" s="4"/>
    </row>
    <row r="192" spans="1:7">
      <c r="A192"/>
      <c r="B192"/>
      <c r="C192" s="140"/>
      <c r="D192"/>
    </row>
  </sheetData>
  <mergeCells count="16">
    <mergeCell ref="A5:D5"/>
    <mergeCell ref="A34:D34"/>
    <mergeCell ref="A43:D43"/>
    <mergeCell ref="A56:D56"/>
    <mergeCell ref="A2:D2"/>
    <mergeCell ref="A131:D131"/>
    <mergeCell ref="A112:D112"/>
    <mergeCell ref="A118:D118"/>
    <mergeCell ref="A145:D145"/>
    <mergeCell ref="A165:D165"/>
    <mergeCell ref="A157:D157"/>
    <mergeCell ref="A106:D106"/>
    <mergeCell ref="A64:D64"/>
    <mergeCell ref="A72:D72"/>
    <mergeCell ref="A85:D85"/>
    <mergeCell ref="A100:D100"/>
  </mergeCells>
  <pageMargins left="0.74803149606299213" right="0.74803149606299213" top="0.51181102362204722" bottom="0.98425196850393704" header="0" footer="0.74803149606299213"/>
  <pageSetup scale="75" orientation="portrait" horizontalDpi="200" verticalDpi="200" r:id="rId1"/>
  <headerFooter alignWithMargins="0">
    <oddFooter>&amp;C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K660"/>
  <sheetViews>
    <sheetView view="pageBreakPreview" topLeftCell="A10" zoomScale="89" zoomScaleNormal="100" zoomScaleSheetLayoutView="89" workbookViewId="0">
      <pane ySplit="2016" activePane="bottomLeft"/>
      <selection activeCell="B1" sqref="B1:B1048576"/>
      <selection pane="bottomLeft"/>
    </sheetView>
  </sheetViews>
  <sheetFormatPr defaultColWidth="9.109375" defaultRowHeight="18.600000000000001"/>
  <cols>
    <col min="1" max="1" width="11.44140625" style="1" customWidth="1"/>
    <col min="2" max="2" width="56.5546875" style="52" customWidth="1"/>
    <col min="3" max="3" width="16.109375" style="68" customWidth="1"/>
    <col min="4" max="4" width="13.6640625" style="18" customWidth="1"/>
    <col min="5" max="5" width="18.109375" style="19" customWidth="1"/>
    <col min="6" max="6" width="19.88671875" style="20" customWidth="1"/>
    <col min="7" max="7" width="19.33203125" style="1" customWidth="1"/>
    <col min="8" max="9" width="11.5546875" style="1" customWidth="1"/>
    <col min="10" max="11" width="9.109375" style="1"/>
    <col min="12" max="12" width="14.88671875" style="1" customWidth="1"/>
    <col min="13" max="256" width="9.109375" style="1"/>
    <col min="257" max="257" width="11.44140625" style="1" customWidth="1"/>
    <col min="258" max="258" width="56.5546875" style="1" customWidth="1"/>
    <col min="259" max="259" width="14.5546875" style="1" customWidth="1"/>
    <col min="260" max="260" width="13.6640625" style="1" customWidth="1"/>
    <col min="261" max="261" width="18.109375" style="1" customWidth="1"/>
    <col min="262" max="262" width="16.33203125" style="1" customWidth="1"/>
    <col min="263" max="512" width="9.109375" style="1"/>
    <col min="513" max="513" width="11.44140625" style="1" customWidth="1"/>
    <col min="514" max="514" width="56.5546875" style="1" customWidth="1"/>
    <col min="515" max="515" width="14.5546875" style="1" customWidth="1"/>
    <col min="516" max="516" width="13.6640625" style="1" customWidth="1"/>
    <col min="517" max="517" width="18.109375" style="1" customWidth="1"/>
    <col min="518" max="518" width="16.33203125" style="1" customWidth="1"/>
    <col min="519" max="768" width="9.109375" style="1"/>
    <col min="769" max="769" width="11.44140625" style="1" customWidth="1"/>
    <col min="770" max="770" width="56.5546875" style="1" customWidth="1"/>
    <col min="771" max="771" width="14.5546875" style="1" customWidth="1"/>
    <col min="772" max="772" width="13.6640625" style="1" customWidth="1"/>
    <col min="773" max="773" width="18.109375" style="1" customWidth="1"/>
    <col min="774" max="774" width="16.33203125" style="1" customWidth="1"/>
    <col min="775" max="1024" width="9.109375" style="1"/>
    <col min="1025" max="1025" width="11.44140625" style="1" customWidth="1"/>
    <col min="1026" max="1026" width="56.5546875" style="1" customWidth="1"/>
    <col min="1027" max="1027" width="14.5546875" style="1" customWidth="1"/>
    <col min="1028" max="1028" width="13.6640625" style="1" customWidth="1"/>
    <col min="1029" max="1029" width="18.109375" style="1" customWidth="1"/>
    <col min="1030" max="1030" width="16.33203125" style="1" customWidth="1"/>
    <col min="1031" max="1280" width="9.109375" style="1"/>
    <col min="1281" max="1281" width="11.44140625" style="1" customWidth="1"/>
    <col min="1282" max="1282" width="56.5546875" style="1" customWidth="1"/>
    <col min="1283" max="1283" width="14.5546875" style="1" customWidth="1"/>
    <col min="1284" max="1284" width="13.6640625" style="1" customWidth="1"/>
    <col min="1285" max="1285" width="18.109375" style="1" customWidth="1"/>
    <col min="1286" max="1286" width="16.33203125" style="1" customWidth="1"/>
    <col min="1287" max="1536" width="9.109375" style="1"/>
    <col min="1537" max="1537" width="11.44140625" style="1" customWidth="1"/>
    <col min="1538" max="1538" width="56.5546875" style="1" customWidth="1"/>
    <col min="1539" max="1539" width="14.5546875" style="1" customWidth="1"/>
    <col min="1540" max="1540" width="13.6640625" style="1" customWidth="1"/>
    <col min="1541" max="1541" width="18.109375" style="1" customWidth="1"/>
    <col min="1542" max="1542" width="16.33203125" style="1" customWidth="1"/>
    <col min="1543" max="1792" width="9.109375" style="1"/>
    <col min="1793" max="1793" width="11.44140625" style="1" customWidth="1"/>
    <col min="1794" max="1794" width="56.5546875" style="1" customWidth="1"/>
    <col min="1795" max="1795" width="14.5546875" style="1" customWidth="1"/>
    <col min="1796" max="1796" width="13.6640625" style="1" customWidth="1"/>
    <col min="1797" max="1797" width="18.109375" style="1" customWidth="1"/>
    <col min="1798" max="1798" width="16.33203125" style="1" customWidth="1"/>
    <col min="1799" max="2048" width="9.109375" style="1"/>
    <col min="2049" max="2049" width="11.44140625" style="1" customWidth="1"/>
    <col min="2050" max="2050" width="56.5546875" style="1" customWidth="1"/>
    <col min="2051" max="2051" width="14.5546875" style="1" customWidth="1"/>
    <col min="2052" max="2052" width="13.6640625" style="1" customWidth="1"/>
    <col min="2053" max="2053" width="18.109375" style="1" customWidth="1"/>
    <col min="2054" max="2054" width="16.33203125" style="1" customWidth="1"/>
    <col min="2055" max="2304" width="9.109375" style="1"/>
    <col min="2305" max="2305" width="11.44140625" style="1" customWidth="1"/>
    <col min="2306" max="2306" width="56.5546875" style="1" customWidth="1"/>
    <col min="2307" max="2307" width="14.5546875" style="1" customWidth="1"/>
    <col min="2308" max="2308" width="13.6640625" style="1" customWidth="1"/>
    <col min="2309" max="2309" width="18.109375" style="1" customWidth="1"/>
    <col min="2310" max="2310" width="16.33203125" style="1" customWidth="1"/>
    <col min="2311" max="2560" width="9.109375" style="1"/>
    <col min="2561" max="2561" width="11.44140625" style="1" customWidth="1"/>
    <col min="2562" max="2562" width="56.5546875" style="1" customWidth="1"/>
    <col min="2563" max="2563" width="14.5546875" style="1" customWidth="1"/>
    <col min="2564" max="2564" width="13.6640625" style="1" customWidth="1"/>
    <col min="2565" max="2565" width="18.109375" style="1" customWidth="1"/>
    <col min="2566" max="2566" width="16.33203125" style="1" customWidth="1"/>
    <col min="2567" max="2816" width="9.109375" style="1"/>
    <col min="2817" max="2817" width="11.44140625" style="1" customWidth="1"/>
    <col min="2818" max="2818" width="56.5546875" style="1" customWidth="1"/>
    <col min="2819" max="2819" width="14.5546875" style="1" customWidth="1"/>
    <col min="2820" max="2820" width="13.6640625" style="1" customWidth="1"/>
    <col min="2821" max="2821" width="18.109375" style="1" customWidth="1"/>
    <col min="2822" max="2822" width="16.33203125" style="1" customWidth="1"/>
    <col min="2823" max="3072" width="9.109375" style="1"/>
    <col min="3073" max="3073" width="11.44140625" style="1" customWidth="1"/>
    <col min="3074" max="3074" width="56.5546875" style="1" customWidth="1"/>
    <col min="3075" max="3075" width="14.5546875" style="1" customWidth="1"/>
    <col min="3076" max="3076" width="13.6640625" style="1" customWidth="1"/>
    <col min="3077" max="3077" width="18.109375" style="1" customWidth="1"/>
    <col min="3078" max="3078" width="16.33203125" style="1" customWidth="1"/>
    <col min="3079" max="3328" width="9.109375" style="1"/>
    <col min="3329" max="3329" width="11.44140625" style="1" customWidth="1"/>
    <col min="3330" max="3330" width="56.5546875" style="1" customWidth="1"/>
    <col min="3331" max="3331" width="14.5546875" style="1" customWidth="1"/>
    <col min="3332" max="3332" width="13.6640625" style="1" customWidth="1"/>
    <col min="3333" max="3333" width="18.109375" style="1" customWidth="1"/>
    <col min="3334" max="3334" width="16.33203125" style="1" customWidth="1"/>
    <col min="3335" max="3584" width="9.109375" style="1"/>
    <col min="3585" max="3585" width="11.44140625" style="1" customWidth="1"/>
    <col min="3586" max="3586" width="56.5546875" style="1" customWidth="1"/>
    <col min="3587" max="3587" width="14.5546875" style="1" customWidth="1"/>
    <col min="3588" max="3588" width="13.6640625" style="1" customWidth="1"/>
    <col min="3589" max="3589" width="18.109375" style="1" customWidth="1"/>
    <col min="3590" max="3590" width="16.33203125" style="1" customWidth="1"/>
    <col min="3591" max="3840" width="9.109375" style="1"/>
    <col min="3841" max="3841" width="11.44140625" style="1" customWidth="1"/>
    <col min="3842" max="3842" width="56.5546875" style="1" customWidth="1"/>
    <col min="3843" max="3843" width="14.5546875" style="1" customWidth="1"/>
    <col min="3844" max="3844" width="13.6640625" style="1" customWidth="1"/>
    <col min="3845" max="3845" width="18.109375" style="1" customWidth="1"/>
    <col min="3846" max="3846" width="16.33203125" style="1" customWidth="1"/>
    <col min="3847" max="4096" width="9.109375" style="1"/>
    <col min="4097" max="4097" width="11.44140625" style="1" customWidth="1"/>
    <col min="4098" max="4098" width="56.5546875" style="1" customWidth="1"/>
    <col min="4099" max="4099" width="14.5546875" style="1" customWidth="1"/>
    <col min="4100" max="4100" width="13.6640625" style="1" customWidth="1"/>
    <col min="4101" max="4101" width="18.109375" style="1" customWidth="1"/>
    <col min="4102" max="4102" width="16.33203125" style="1" customWidth="1"/>
    <col min="4103" max="4352" width="9.109375" style="1"/>
    <col min="4353" max="4353" width="11.44140625" style="1" customWidth="1"/>
    <col min="4354" max="4354" width="56.5546875" style="1" customWidth="1"/>
    <col min="4355" max="4355" width="14.5546875" style="1" customWidth="1"/>
    <col min="4356" max="4356" width="13.6640625" style="1" customWidth="1"/>
    <col min="4357" max="4357" width="18.109375" style="1" customWidth="1"/>
    <col min="4358" max="4358" width="16.33203125" style="1" customWidth="1"/>
    <col min="4359" max="4608" width="9.109375" style="1"/>
    <col min="4609" max="4609" width="11.44140625" style="1" customWidth="1"/>
    <col min="4610" max="4610" width="56.5546875" style="1" customWidth="1"/>
    <col min="4611" max="4611" width="14.5546875" style="1" customWidth="1"/>
    <col min="4612" max="4612" width="13.6640625" style="1" customWidth="1"/>
    <col min="4613" max="4613" width="18.109375" style="1" customWidth="1"/>
    <col min="4614" max="4614" width="16.33203125" style="1" customWidth="1"/>
    <col min="4615" max="4864" width="9.109375" style="1"/>
    <col min="4865" max="4865" width="11.44140625" style="1" customWidth="1"/>
    <col min="4866" max="4866" width="56.5546875" style="1" customWidth="1"/>
    <col min="4867" max="4867" width="14.5546875" style="1" customWidth="1"/>
    <col min="4868" max="4868" width="13.6640625" style="1" customWidth="1"/>
    <col min="4869" max="4869" width="18.109375" style="1" customWidth="1"/>
    <col min="4870" max="4870" width="16.33203125" style="1" customWidth="1"/>
    <col min="4871" max="5120" width="9.109375" style="1"/>
    <col min="5121" max="5121" width="11.44140625" style="1" customWidth="1"/>
    <col min="5122" max="5122" width="56.5546875" style="1" customWidth="1"/>
    <col min="5123" max="5123" width="14.5546875" style="1" customWidth="1"/>
    <col min="5124" max="5124" width="13.6640625" style="1" customWidth="1"/>
    <col min="5125" max="5125" width="18.109375" style="1" customWidth="1"/>
    <col min="5126" max="5126" width="16.33203125" style="1" customWidth="1"/>
    <col min="5127" max="5376" width="9.109375" style="1"/>
    <col min="5377" max="5377" width="11.44140625" style="1" customWidth="1"/>
    <col min="5378" max="5378" width="56.5546875" style="1" customWidth="1"/>
    <col min="5379" max="5379" width="14.5546875" style="1" customWidth="1"/>
    <col min="5380" max="5380" width="13.6640625" style="1" customWidth="1"/>
    <col min="5381" max="5381" width="18.109375" style="1" customWidth="1"/>
    <col min="5382" max="5382" width="16.33203125" style="1" customWidth="1"/>
    <col min="5383" max="5632" width="9.109375" style="1"/>
    <col min="5633" max="5633" width="11.44140625" style="1" customWidth="1"/>
    <col min="5634" max="5634" width="56.5546875" style="1" customWidth="1"/>
    <col min="5635" max="5635" width="14.5546875" style="1" customWidth="1"/>
    <col min="5636" max="5636" width="13.6640625" style="1" customWidth="1"/>
    <col min="5637" max="5637" width="18.109375" style="1" customWidth="1"/>
    <col min="5638" max="5638" width="16.33203125" style="1" customWidth="1"/>
    <col min="5639" max="5888" width="9.109375" style="1"/>
    <col min="5889" max="5889" width="11.44140625" style="1" customWidth="1"/>
    <col min="5890" max="5890" width="56.5546875" style="1" customWidth="1"/>
    <col min="5891" max="5891" width="14.5546875" style="1" customWidth="1"/>
    <col min="5892" max="5892" width="13.6640625" style="1" customWidth="1"/>
    <col min="5893" max="5893" width="18.109375" style="1" customWidth="1"/>
    <col min="5894" max="5894" width="16.33203125" style="1" customWidth="1"/>
    <col min="5895" max="6144" width="9.109375" style="1"/>
    <col min="6145" max="6145" width="11.44140625" style="1" customWidth="1"/>
    <col min="6146" max="6146" width="56.5546875" style="1" customWidth="1"/>
    <col min="6147" max="6147" width="14.5546875" style="1" customWidth="1"/>
    <col min="6148" max="6148" width="13.6640625" style="1" customWidth="1"/>
    <col min="6149" max="6149" width="18.109375" style="1" customWidth="1"/>
    <col min="6150" max="6150" width="16.33203125" style="1" customWidth="1"/>
    <col min="6151" max="6400" width="9.109375" style="1"/>
    <col min="6401" max="6401" width="11.44140625" style="1" customWidth="1"/>
    <col min="6402" max="6402" width="56.5546875" style="1" customWidth="1"/>
    <col min="6403" max="6403" width="14.5546875" style="1" customWidth="1"/>
    <col min="6404" max="6404" width="13.6640625" style="1" customWidth="1"/>
    <col min="6405" max="6405" width="18.109375" style="1" customWidth="1"/>
    <col min="6406" max="6406" width="16.33203125" style="1" customWidth="1"/>
    <col min="6407" max="6656" width="9.109375" style="1"/>
    <col min="6657" max="6657" width="11.44140625" style="1" customWidth="1"/>
    <col min="6658" max="6658" width="56.5546875" style="1" customWidth="1"/>
    <col min="6659" max="6659" width="14.5546875" style="1" customWidth="1"/>
    <col min="6660" max="6660" width="13.6640625" style="1" customWidth="1"/>
    <col min="6661" max="6661" width="18.109375" style="1" customWidth="1"/>
    <col min="6662" max="6662" width="16.33203125" style="1" customWidth="1"/>
    <col min="6663" max="6912" width="9.109375" style="1"/>
    <col min="6913" max="6913" width="11.44140625" style="1" customWidth="1"/>
    <col min="6914" max="6914" width="56.5546875" style="1" customWidth="1"/>
    <col min="6915" max="6915" width="14.5546875" style="1" customWidth="1"/>
    <col min="6916" max="6916" width="13.6640625" style="1" customWidth="1"/>
    <col min="6917" max="6917" width="18.109375" style="1" customWidth="1"/>
    <col min="6918" max="6918" width="16.33203125" style="1" customWidth="1"/>
    <col min="6919" max="7168" width="9.109375" style="1"/>
    <col min="7169" max="7169" width="11.44140625" style="1" customWidth="1"/>
    <col min="7170" max="7170" width="56.5546875" style="1" customWidth="1"/>
    <col min="7171" max="7171" width="14.5546875" style="1" customWidth="1"/>
    <col min="7172" max="7172" width="13.6640625" style="1" customWidth="1"/>
    <col min="7173" max="7173" width="18.109375" style="1" customWidth="1"/>
    <col min="7174" max="7174" width="16.33203125" style="1" customWidth="1"/>
    <col min="7175" max="7424" width="9.109375" style="1"/>
    <col min="7425" max="7425" width="11.44140625" style="1" customWidth="1"/>
    <col min="7426" max="7426" width="56.5546875" style="1" customWidth="1"/>
    <col min="7427" max="7427" width="14.5546875" style="1" customWidth="1"/>
    <col min="7428" max="7428" width="13.6640625" style="1" customWidth="1"/>
    <col min="7429" max="7429" width="18.109375" style="1" customWidth="1"/>
    <col min="7430" max="7430" width="16.33203125" style="1" customWidth="1"/>
    <col min="7431" max="7680" width="9.109375" style="1"/>
    <col min="7681" max="7681" width="11.44140625" style="1" customWidth="1"/>
    <col min="7682" max="7682" width="56.5546875" style="1" customWidth="1"/>
    <col min="7683" max="7683" width="14.5546875" style="1" customWidth="1"/>
    <col min="7684" max="7684" width="13.6640625" style="1" customWidth="1"/>
    <col min="7685" max="7685" width="18.109375" style="1" customWidth="1"/>
    <col min="7686" max="7686" width="16.33203125" style="1" customWidth="1"/>
    <col min="7687" max="7936" width="9.109375" style="1"/>
    <col min="7937" max="7937" width="11.44140625" style="1" customWidth="1"/>
    <col min="7938" max="7938" width="56.5546875" style="1" customWidth="1"/>
    <col min="7939" max="7939" width="14.5546875" style="1" customWidth="1"/>
    <col min="7940" max="7940" width="13.6640625" style="1" customWidth="1"/>
    <col min="7941" max="7941" width="18.109375" style="1" customWidth="1"/>
    <col min="7942" max="7942" width="16.33203125" style="1" customWidth="1"/>
    <col min="7943" max="8192" width="9.109375" style="1"/>
    <col min="8193" max="8193" width="11.44140625" style="1" customWidth="1"/>
    <col min="8194" max="8194" width="56.5546875" style="1" customWidth="1"/>
    <col min="8195" max="8195" width="14.5546875" style="1" customWidth="1"/>
    <col min="8196" max="8196" width="13.6640625" style="1" customWidth="1"/>
    <col min="8197" max="8197" width="18.109375" style="1" customWidth="1"/>
    <col min="8198" max="8198" width="16.33203125" style="1" customWidth="1"/>
    <col min="8199" max="8448" width="9.109375" style="1"/>
    <col min="8449" max="8449" width="11.44140625" style="1" customWidth="1"/>
    <col min="8450" max="8450" width="56.5546875" style="1" customWidth="1"/>
    <col min="8451" max="8451" width="14.5546875" style="1" customWidth="1"/>
    <col min="8452" max="8452" width="13.6640625" style="1" customWidth="1"/>
    <col min="8453" max="8453" width="18.109375" style="1" customWidth="1"/>
    <col min="8454" max="8454" width="16.33203125" style="1" customWidth="1"/>
    <col min="8455" max="8704" width="9.109375" style="1"/>
    <col min="8705" max="8705" width="11.44140625" style="1" customWidth="1"/>
    <col min="8706" max="8706" width="56.5546875" style="1" customWidth="1"/>
    <col min="8707" max="8707" width="14.5546875" style="1" customWidth="1"/>
    <col min="8708" max="8708" width="13.6640625" style="1" customWidth="1"/>
    <col min="8709" max="8709" width="18.109375" style="1" customWidth="1"/>
    <col min="8710" max="8710" width="16.33203125" style="1" customWidth="1"/>
    <col min="8711" max="8960" width="9.109375" style="1"/>
    <col min="8961" max="8961" width="11.44140625" style="1" customWidth="1"/>
    <col min="8962" max="8962" width="56.5546875" style="1" customWidth="1"/>
    <col min="8963" max="8963" width="14.5546875" style="1" customWidth="1"/>
    <col min="8964" max="8964" width="13.6640625" style="1" customWidth="1"/>
    <col min="8965" max="8965" width="18.109375" style="1" customWidth="1"/>
    <col min="8966" max="8966" width="16.33203125" style="1" customWidth="1"/>
    <col min="8967" max="9216" width="9.109375" style="1"/>
    <col min="9217" max="9217" width="11.44140625" style="1" customWidth="1"/>
    <col min="9218" max="9218" width="56.5546875" style="1" customWidth="1"/>
    <col min="9219" max="9219" width="14.5546875" style="1" customWidth="1"/>
    <col min="9220" max="9220" width="13.6640625" style="1" customWidth="1"/>
    <col min="9221" max="9221" width="18.109375" style="1" customWidth="1"/>
    <col min="9222" max="9222" width="16.33203125" style="1" customWidth="1"/>
    <col min="9223" max="9472" width="9.109375" style="1"/>
    <col min="9473" max="9473" width="11.44140625" style="1" customWidth="1"/>
    <col min="9474" max="9474" width="56.5546875" style="1" customWidth="1"/>
    <col min="9475" max="9475" width="14.5546875" style="1" customWidth="1"/>
    <col min="9476" max="9476" width="13.6640625" style="1" customWidth="1"/>
    <col min="9477" max="9477" width="18.109375" style="1" customWidth="1"/>
    <col min="9478" max="9478" width="16.33203125" style="1" customWidth="1"/>
    <col min="9479" max="9728" width="9.109375" style="1"/>
    <col min="9729" max="9729" width="11.44140625" style="1" customWidth="1"/>
    <col min="9730" max="9730" width="56.5546875" style="1" customWidth="1"/>
    <col min="9731" max="9731" width="14.5546875" style="1" customWidth="1"/>
    <col min="9732" max="9732" width="13.6640625" style="1" customWidth="1"/>
    <col min="9733" max="9733" width="18.109375" style="1" customWidth="1"/>
    <col min="9734" max="9734" width="16.33203125" style="1" customWidth="1"/>
    <col min="9735" max="9984" width="9.109375" style="1"/>
    <col min="9985" max="9985" width="11.44140625" style="1" customWidth="1"/>
    <col min="9986" max="9986" width="56.5546875" style="1" customWidth="1"/>
    <col min="9987" max="9987" width="14.5546875" style="1" customWidth="1"/>
    <col min="9988" max="9988" width="13.6640625" style="1" customWidth="1"/>
    <col min="9989" max="9989" width="18.109375" style="1" customWidth="1"/>
    <col min="9990" max="9990" width="16.33203125" style="1" customWidth="1"/>
    <col min="9991" max="10240" width="9.109375" style="1"/>
    <col min="10241" max="10241" width="11.44140625" style="1" customWidth="1"/>
    <col min="10242" max="10242" width="56.5546875" style="1" customWidth="1"/>
    <col min="10243" max="10243" width="14.5546875" style="1" customWidth="1"/>
    <col min="10244" max="10244" width="13.6640625" style="1" customWidth="1"/>
    <col min="10245" max="10245" width="18.109375" style="1" customWidth="1"/>
    <col min="10246" max="10246" width="16.33203125" style="1" customWidth="1"/>
    <col min="10247" max="10496" width="9.109375" style="1"/>
    <col min="10497" max="10497" width="11.44140625" style="1" customWidth="1"/>
    <col min="10498" max="10498" width="56.5546875" style="1" customWidth="1"/>
    <col min="10499" max="10499" width="14.5546875" style="1" customWidth="1"/>
    <col min="10500" max="10500" width="13.6640625" style="1" customWidth="1"/>
    <col min="10501" max="10501" width="18.109375" style="1" customWidth="1"/>
    <col min="10502" max="10502" width="16.33203125" style="1" customWidth="1"/>
    <col min="10503" max="10752" width="9.109375" style="1"/>
    <col min="10753" max="10753" width="11.44140625" style="1" customWidth="1"/>
    <col min="10754" max="10754" width="56.5546875" style="1" customWidth="1"/>
    <col min="10755" max="10755" width="14.5546875" style="1" customWidth="1"/>
    <col min="10756" max="10756" width="13.6640625" style="1" customWidth="1"/>
    <col min="10757" max="10757" width="18.109375" style="1" customWidth="1"/>
    <col min="10758" max="10758" width="16.33203125" style="1" customWidth="1"/>
    <col min="10759" max="11008" width="9.109375" style="1"/>
    <col min="11009" max="11009" width="11.44140625" style="1" customWidth="1"/>
    <col min="11010" max="11010" width="56.5546875" style="1" customWidth="1"/>
    <col min="11011" max="11011" width="14.5546875" style="1" customWidth="1"/>
    <col min="11012" max="11012" width="13.6640625" style="1" customWidth="1"/>
    <col min="11013" max="11013" width="18.109375" style="1" customWidth="1"/>
    <col min="11014" max="11014" width="16.33203125" style="1" customWidth="1"/>
    <col min="11015" max="11264" width="9.109375" style="1"/>
    <col min="11265" max="11265" width="11.44140625" style="1" customWidth="1"/>
    <col min="11266" max="11266" width="56.5546875" style="1" customWidth="1"/>
    <col min="11267" max="11267" width="14.5546875" style="1" customWidth="1"/>
    <col min="11268" max="11268" width="13.6640625" style="1" customWidth="1"/>
    <col min="11269" max="11269" width="18.109375" style="1" customWidth="1"/>
    <col min="11270" max="11270" width="16.33203125" style="1" customWidth="1"/>
    <col min="11271" max="11520" width="9.109375" style="1"/>
    <col min="11521" max="11521" width="11.44140625" style="1" customWidth="1"/>
    <col min="11522" max="11522" width="56.5546875" style="1" customWidth="1"/>
    <col min="11523" max="11523" width="14.5546875" style="1" customWidth="1"/>
    <col min="11524" max="11524" width="13.6640625" style="1" customWidth="1"/>
    <col min="11525" max="11525" width="18.109375" style="1" customWidth="1"/>
    <col min="11526" max="11526" width="16.33203125" style="1" customWidth="1"/>
    <col min="11527" max="11776" width="9.109375" style="1"/>
    <col min="11777" max="11777" width="11.44140625" style="1" customWidth="1"/>
    <col min="11778" max="11778" width="56.5546875" style="1" customWidth="1"/>
    <col min="11779" max="11779" width="14.5546875" style="1" customWidth="1"/>
    <col min="11780" max="11780" width="13.6640625" style="1" customWidth="1"/>
    <col min="11781" max="11781" width="18.109375" style="1" customWidth="1"/>
    <col min="11782" max="11782" width="16.33203125" style="1" customWidth="1"/>
    <col min="11783" max="12032" width="9.109375" style="1"/>
    <col min="12033" max="12033" width="11.44140625" style="1" customWidth="1"/>
    <col min="12034" max="12034" width="56.5546875" style="1" customWidth="1"/>
    <col min="12035" max="12035" width="14.5546875" style="1" customWidth="1"/>
    <col min="12036" max="12036" width="13.6640625" style="1" customWidth="1"/>
    <col min="12037" max="12037" width="18.109375" style="1" customWidth="1"/>
    <col min="12038" max="12038" width="16.33203125" style="1" customWidth="1"/>
    <col min="12039" max="12288" width="9.109375" style="1"/>
    <col min="12289" max="12289" width="11.44140625" style="1" customWidth="1"/>
    <col min="12290" max="12290" width="56.5546875" style="1" customWidth="1"/>
    <col min="12291" max="12291" width="14.5546875" style="1" customWidth="1"/>
    <col min="12292" max="12292" width="13.6640625" style="1" customWidth="1"/>
    <col min="12293" max="12293" width="18.109375" style="1" customWidth="1"/>
    <col min="12294" max="12294" width="16.33203125" style="1" customWidth="1"/>
    <col min="12295" max="12544" width="9.109375" style="1"/>
    <col min="12545" max="12545" width="11.44140625" style="1" customWidth="1"/>
    <col min="12546" max="12546" width="56.5546875" style="1" customWidth="1"/>
    <col min="12547" max="12547" width="14.5546875" style="1" customWidth="1"/>
    <col min="12548" max="12548" width="13.6640625" style="1" customWidth="1"/>
    <col min="12549" max="12549" width="18.109375" style="1" customWidth="1"/>
    <col min="12550" max="12550" width="16.33203125" style="1" customWidth="1"/>
    <col min="12551" max="12800" width="9.109375" style="1"/>
    <col min="12801" max="12801" width="11.44140625" style="1" customWidth="1"/>
    <col min="12802" max="12802" width="56.5546875" style="1" customWidth="1"/>
    <col min="12803" max="12803" width="14.5546875" style="1" customWidth="1"/>
    <col min="12804" max="12804" width="13.6640625" style="1" customWidth="1"/>
    <col min="12805" max="12805" width="18.109375" style="1" customWidth="1"/>
    <col min="12806" max="12806" width="16.33203125" style="1" customWidth="1"/>
    <col min="12807" max="13056" width="9.109375" style="1"/>
    <col min="13057" max="13057" width="11.44140625" style="1" customWidth="1"/>
    <col min="13058" max="13058" width="56.5546875" style="1" customWidth="1"/>
    <col min="13059" max="13059" width="14.5546875" style="1" customWidth="1"/>
    <col min="13060" max="13060" width="13.6640625" style="1" customWidth="1"/>
    <col min="13061" max="13061" width="18.109375" style="1" customWidth="1"/>
    <col min="13062" max="13062" width="16.33203125" style="1" customWidth="1"/>
    <col min="13063" max="13312" width="9.109375" style="1"/>
    <col min="13313" max="13313" width="11.44140625" style="1" customWidth="1"/>
    <col min="13314" max="13314" width="56.5546875" style="1" customWidth="1"/>
    <col min="13315" max="13315" width="14.5546875" style="1" customWidth="1"/>
    <col min="13316" max="13316" width="13.6640625" style="1" customWidth="1"/>
    <col min="13317" max="13317" width="18.109375" style="1" customWidth="1"/>
    <col min="13318" max="13318" width="16.33203125" style="1" customWidth="1"/>
    <col min="13319" max="13568" width="9.109375" style="1"/>
    <col min="13569" max="13569" width="11.44140625" style="1" customWidth="1"/>
    <col min="13570" max="13570" width="56.5546875" style="1" customWidth="1"/>
    <col min="13571" max="13571" width="14.5546875" style="1" customWidth="1"/>
    <col min="13572" max="13572" width="13.6640625" style="1" customWidth="1"/>
    <col min="13573" max="13573" width="18.109375" style="1" customWidth="1"/>
    <col min="13574" max="13574" width="16.33203125" style="1" customWidth="1"/>
    <col min="13575" max="13824" width="9.109375" style="1"/>
    <col min="13825" max="13825" width="11.44140625" style="1" customWidth="1"/>
    <col min="13826" max="13826" width="56.5546875" style="1" customWidth="1"/>
    <col min="13827" max="13827" width="14.5546875" style="1" customWidth="1"/>
    <col min="13828" max="13828" width="13.6640625" style="1" customWidth="1"/>
    <col min="13829" max="13829" width="18.109375" style="1" customWidth="1"/>
    <col min="13830" max="13830" width="16.33203125" style="1" customWidth="1"/>
    <col min="13831" max="14080" width="9.109375" style="1"/>
    <col min="14081" max="14081" width="11.44140625" style="1" customWidth="1"/>
    <col min="14082" max="14082" width="56.5546875" style="1" customWidth="1"/>
    <col min="14083" max="14083" width="14.5546875" style="1" customWidth="1"/>
    <col min="14084" max="14084" width="13.6640625" style="1" customWidth="1"/>
    <col min="14085" max="14085" width="18.109375" style="1" customWidth="1"/>
    <col min="14086" max="14086" width="16.33203125" style="1" customWidth="1"/>
    <col min="14087" max="14336" width="9.109375" style="1"/>
    <col min="14337" max="14337" width="11.44140625" style="1" customWidth="1"/>
    <col min="14338" max="14338" width="56.5546875" style="1" customWidth="1"/>
    <col min="14339" max="14339" width="14.5546875" style="1" customWidth="1"/>
    <col min="14340" max="14340" width="13.6640625" style="1" customWidth="1"/>
    <col min="14341" max="14341" width="18.109375" style="1" customWidth="1"/>
    <col min="14342" max="14342" width="16.33203125" style="1" customWidth="1"/>
    <col min="14343" max="14592" width="9.109375" style="1"/>
    <col min="14593" max="14593" width="11.44140625" style="1" customWidth="1"/>
    <col min="14594" max="14594" width="56.5546875" style="1" customWidth="1"/>
    <col min="14595" max="14595" width="14.5546875" style="1" customWidth="1"/>
    <col min="14596" max="14596" width="13.6640625" style="1" customWidth="1"/>
    <col min="14597" max="14597" width="18.109375" style="1" customWidth="1"/>
    <col min="14598" max="14598" width="16.33203125" style="1" customWidth="1"/>
    <col min="14599" max="14848" width="9.109375" style="1"/>
    <col min="14849" max="14849" width="11.44140625" style="1" customWidth="1"/>
    <col min="14850" max="14850" width="56.5546875" style="1" customWidth="1"/>
    <col min="14851" max="14851" width="14.5546875" style="1" customWidth="1"/>
    <col min="14852" max="14852" width="13.6640625" style="1" customWidth="1"/>
    <col min="14853" max="14853" width="18.109375" style="1" customWidth="1"/>
    <col min="14854" max="14854" width="16.33203125" style="1" customWidth="1"/>
    <col min="14855" max="15104" width="9.109375" style="1"/>
    <col min="15105" max="15105" width="11.44140625" style="1" customWidth="1"/>
    <col min="15106" max="15106" width="56.5546875" style="1" customWidth="1"/>
    <col min="15107" max="15107" width="14.5546875" style="1" customWidth="1"/>
    <col min="15108" max="15108" width="13.6640625" style="1" customWidth="1"/>
    <col min="15109" max="15109" width="18.109375" style="1" customWidth="1"/>
    <col min="15110" max="15110" width="16.33203125" style="1" customWidth="1"/>
    <col min="15111" max="15360" width="9.109375" style="1"/>
    <col min="15361" max="15361" width="11.44140625" style="1" customWidth="1"/>
    <col min="15362" max="15362" width="56.5546875" style="1" customWidth="1"/>
    <col min="15363" max="15363" width="14.5546875" style="1" customWidth="1"/>
    <col min="15364" max="15364" width="13.6640625" style="1" customWidth="1"/>
    <col min="15365" max="15365" width="18.109375" style="1" customWidth="1"/>
    <col min="15366" max="15366" width="16.33203125" style="1" customWidth="1"/>
    <col min="15367" max="15616" width="9.109375" style="1"/>
    <col min="15617" max="15617" width="11.44140625" style="1" customWidth="1"/>
    <col min="15618" max="15618" width="56.5546875" style="1" customWidth="1"/>
    <col min="15619" max="15619" width="14.5546875" style="1" customWidth="1"/>
    <col min="15620" max="15620" width="13.6640625" style="1" customWidth="1"/>
    <col min="15621" max="15621" width="18.109375" style="1" customWidth="1"/>
    <col min="15622" max="15622" width="16.33203125" style="1" customWidth="1"/>
    <col min="15623" max="15872" width="9.109375" style="1"/>
    <col min="15873" max="15873" width="11.44140625" style="1" customWidth="1"/>
    <col min="15874" max="15874" width="56.5546875" style="1" customWidth="1"/>
    <col min="15875" max="15875" width="14.5546875" style="1" customWidth="1"/>
    <col min="15876" max="15876" width="13.6640625" style="1" customWidth="1"/>
    <col min="15877" max="15877" width="18.109375" style="1" customWidth="1"/>
    <col min="15878" max="15878" width="16.33203125" style="1" customWidth="1"/>
    <col min="15879" max="16128" width="9.109375" style="1"/>
    <col min="16129" max="16129" width="11.44140625" style="1" customWidth="1"/>
    <col min="16130" max="16130" width="56.5546875" style="1" customWidth="1"/>
    <col min="16131" max="16131" width="14.5546875" style="1" customWidth="1"/>
    <col min="16132" max="16132" width="13.6640625" style="1" customWidth="1"/>
    <col min="16133" max="16133" width="18.109375" style="1" customWidth="1"/>
    <col min="16134" max="16134" width="16.33203125" style="1" customWidth="1"/>
    <col min="16135" max="16384" width="9.109375" style="1"/>
  </cols>
  <sheetData>
    <row r="1" spans="1:11" customFormat="1" ht="57.75" customHeight="1" thickBot="1">
      <c r="A1" s="253"/>
      <c r="B1" s="293"/>
      <c r="C1" s="294"/>
      <c r="D1" s="294"/>
      <c r="E1" s="294"/>
      <c r="F1" s="295"/>
      <c r="G1" s="237"/>
      <c r="H1" s="237"/>
      <c r="I1" s="237"/>
      <c r="J1" s="237"/>
    </row>
    <row r="2" spans="1:11" ht="25.5" customHeight="1" thickBot="1">
      <c r="A2" s="452" t="s">
        <v>560</v>
      </c>
      <c r="B2" s="452"/>
      <c r="C2" s="452"/>
      <c r="D2" s="452"/>
      <c r="E2" s="452"/>
      <c r="F2" s="453"/>
    </row>
    <row r="3" spans="1:11" ht="33" thickBot="1">
      <c r="A3" s="238" t="s">
        <v>1109</v>
      </c>
      <c r="B3" s="127" t="s">
        <v>562</v>
      </c>
      <c r="C3" s="21"/>
      <c r="D3" s="21"/>
      <c r="E3" s="21"/>
      <c r="F3" s="21"/>
      <c r="I3" s="13">
        <v>45</v>
      </c>
      <c r="K3" s="1" t="s">
        <v>435</v>
      </c>
    </row>
    <row r="4" spans="1:11" ht="19.2" thickBot="1">
      <c r="A4" s="8"/>
      <c r="B4" s="22"/>
      <c r="C4" s="23"/>
      <c r="D4" s="22"/>
      <c r="E4" s="24"/>
      <c r="F4" s="25"/>
    </row>
    <row r="5" spans="1:11" ht="27" customHeight="1" thickBot="1">
      <c r="A5" s="26" t="s">
        <v>774</v>
      </c>
      <c r="B5" s="26" t="s">
        <v>108</v>
      </c>
      <c r="C5" s="27" t="s">
        <v>53</v>
      </c>
      <c r="D5" s="28" t="s">
        <v>58</v>
      </c>
      <c r="E5" s="29" t="s">
        <v>109</v>
      </c>
      <c r="F5" s="30" t="s">
        <v>110</v>
      </c>
    </row>
    <row r="6" spans="1:11">
      <c r="A6" s="9"/>
      <c r="B6" s="31"/>
      <c r="C6" s="32"/>
      <c r="D6" s="33"/>
      <c r="E6" s="34"/>
      <c r="F6" s="35"/>
    </row>
    <row r="7" spans="1:11" ht="19.2" thickBot="1">
      <c r="A7" s="9"/>
      <c r="B7" s="31"/>
      <c r="C7" s="32"/>
      <c r="D7" s="33"/>
      <c r="E7" s="34"/>
      <c r="F7" s="35"/>
    </row>
    <row r="8" spans="1:11" ht="19.2" thickBot="1">
      <c r="B8" s="132" t="s">
        <v>672</v>
      </c>
      <c r="C8" s="47"/>
      <c r="D8" s="54"/>
      <c r="E8" s="24"/>
      <c r="F8" s="25"/>
    </row>
    <row r="9" spans="1:11" ht="19.2" thickBot="1">
      <c r="B9" s="67"/>
      <c r="C9" s="47"/>
      <c r="D9" s="54"/>
      <c r="E9" s="24"/>
      <c r="F9" s="25"/>
    </row>
    <row r="10" spans="1:11" ht="19.2" thickBot="1">
      <c r="A10" s="26" t="s">
        <v>673</v>
      </c>
      <c r="B10" s="36" t="s">
        <v>233</v>
      </c>
      <c r="C10" s="37"/>
      <c r="D10" s="37"/>
      <c r="E10" s="38"/>
      <c r="F10" s="39"/>
    </row>
    <row r="11" spans="1:11">
      <c r="A11" s="2"/>
      <c r="B11" s="52" t="s">
        <v>2</v>
      </c>
      <c r="C11" s="47">
        <v>1</v>
      </c>
      <c r="D11" s="54" t="s">
        <v>58</v>
      </c>
      <c r="E11" s="19">
        <f>'Insumos sanitarios'!$D$149</f>
        <v>14.73</v>
      </c>
      <c r="F11" s="20">
        <f t="shared" ref="F11:F20" si="0">+E11*C11</f>
        <v>14.73</v>
      </c>
    </row>
    <row r="12" spans="1:11">
      <c r="A12" s="2"/>
      <c r="B12" s="52" t="s">
        <v>3</v>
      </c>
      <c r="C12" s="47">
        <v>1</v>
      </c>
      <c r="D12" s="54" t="s">
        <v>58</v>
      </c>
      <c r="E12" s="19">
        <f>'Insumos sanitarios'!$D$150</f>
        <v>8.93</v>
      </c>
      <c r="F12" s="20">
        <f t="shared" si="0"/>
        <v>8.93</v>
      </c>
    </row>
    <row r="13" spans="1:11">
      <c r="A13" s="2"/>
      <c r="B13" s="52" t="s">
        <v>4</v>
      </c>
      <c r="C13" s="47">
        <v>1</v>
      </c>
      <c r="D13" s="54" t="s">
        <v>58</v>
      </c>
      <c r="E13" s="19">
        <f>'Insumos sanitarios'!$D$29</f>
        <v>45.35</v>
      </c>
      <c r="F13" s="20">
        <f t="shared" si="0"/>
        <v>45.35</v>
      </c>
    </row>
    <row r="14" spans="1:11">
      <c r="A14" s="2"/>
      <c r="B14" s="52" t="s">
        <v>5</v>
      </c>
      <c r="C14" s="47">
        <v>1</v>
      </c>
      <c r="D14" s="54" t="s">
        <v>58</v>
      </c>
      <c r="E14" s="19">
        <f>'Insumos sanitarios'!$D$151</f>
        <v>4.75</v>
      </c>
      <c r="F14" s="20">
        <f t="shared" si="0"/>
        <v>4.75</v>
      </c>
    </row>
    <row r="15" spans="1:11">
      <c r="A15" s="2"/>
      <c r="B15" s="52" t="s">
        <v>6</v>
      </c>
      <c r="C15" s="47">
        <v>1</v>
      </c>
      <c r="D15" s="54" t="s">
        <v>58</v>
      </c>
      <c r="E15" s="19">
        <f>'Insumos sanitarios'!$D$152</f>
        <v>44.08</v>
      </c>
      <c r="F15" s="20">
        <f t="shared" si="0"/>
        <v>44.08</v>
      </c>
    </row>
    <row r="16" spans="1:11">
      <c r="A16" s="2"/>
      <c r="B16" s="52" t="s">
        <v>7</v>
      </c>
      <c r="C16" s="47">
        <v>1</v>
      </c>
      <c r="D16" s="54" t="s">
        <v>58</v>
      </c>
      <c r="E16" s="19">
        <f>'Insumos sanitarios'!$D$153</f>
        <v>143.84</v>
      </c>
      <c r="F16" s="20">
        <f t="shared" si="0"/>
        <v>143.84</v>
      </c>
    </row>
    <row r="17" spans="1:6">
      <c r="A17" s="2"/>
      <c r="B17" s="52" t="s">
        <v>9</v>
      </c>
      <c r="C17" s="47">
        <v>1</v>
      </c>
      <c r="D17" s="54" t="s">
        <v>58</v>
      </c>
      <c r="E17" s="19">
        <f>'Insumos sanitarios'!$D$154</f>
        <v>140</v>
      </c>
      <c r="F17" s="20">
        <f t="shared" si="0"/>
        <v>140</v>
      </c>
    </row>
    <row r="18" spans="1:6">
      <c r="A18" s="2"/>
      <c r="B18" s="52" t="s">
        <v>8</v>
      </c>
      <c r="C18" s="47">
        <v>2</v>
      </c>
      <c r="D18" s="54" t="s">
        <v>58</v>
      </c>
      <c r="E18" s="19">
        <f>'Insumos sanitarios'!$D$156</f>
        <v>11.715999999999999</v>
      </c>
      <c r="F18" s="20">
        <f t="shared" si="0"/>
        <v>23.431999999999999</v>
      </c>
    </row>
    <row r="19" spans="1:6">
      <c r="A19" s="2"/>
      <c r="B19" s="52" t="s">
        <v>233</v>
      </c>
      <c r="C19" s="47">
        <v>1</v>
      </c>
      <c r="D19" s="54" t="s">
        <v>58</v>
      </c>
      <c r="E19" s="152">
        <f>'Insumos sanitarios'!D113</f>
        <v>6000</v>
      </c>
      <c r="F19" s="20">
        <f t="shared" si="0"/>
        <v>6000</v>
      </c>
    </row>
    <row r="20" spans="1:6">
      <c r="A20" s="2"/>
      <c r="B20" s="52" t="s">
        <v>243</v>
      </c>
      <c r="C20" s="47">
        <v>1</v>
      </c>
      <c r="D20" s="54" t="s">
        <v>58</v>
      </c>
      <c r="E20" s="19">
        <f>'Mano de Obra Sanitaria'!D6</f>
        <v>1111.3</v>
      </c>
      <c r="F20" s="20">
        <f t="shared" si="0"/>
        <v>1111.3</v>
      </c>
    </row>
    <row r="21" spans="1:6">
      <c r="A21" s="2"/>
      <c r="B21" s="52" t="s">
        <v>484</v>
      </c>
      <c r="C21" s="47">
        <v>0.3</v>
      </c>
      <c r="D21" s="54" t="s">
        <v>58</v>
      </c>
      <c r="E21" s="19">
        <f>'Insumos sanitarios'!$D$180</f>
        <v>146.28</v>
      </c>
      <c r="F21" s="20">
        <v>43.884</v>
      </c>
    </row>
    <row r="22" spans="1:6">
      <c r="A22" s="2"/>
      <c r="B22" s="52" t="s">
        <v>485</v>
      </c>
      <c r="C22" s="47">
        <v>0.5</v>
      </c>
      <c r="D22" s="54" t="s">
        <v>58</v>
      </c>
      <c r="E22" s="19">
        <f>'Insumos sanitarios'!$D$168</f>
        <v>16.170000000000002</v>
      </c>
      <c r="F22" s="20">
        <v>8.0850000000000009</v>
      </c>
    </row>
    <row r="23" spans="1:6">
      <c r="A23" s="2"/>
      <c r="C23" s="47"/>
      <c r="D23" s="54"/>
    </row>
    <row r="24" spans="1:6" ht="19.2" thickBot="1">
      <c r="A24" s="2"/>
      <c r="B24" s="42"/>
      <c r="C24" s="43"/>
      <c r="D24" s="44"/>
      <c r="E24" s="45" t="s">
        <v>41</v>
      </c>
      <c r="F24" s="46">
        <f>SUM(F11:F23)</f>
        <v>7588.3810000000003</v>
      </c>
    </row>
    <row r="25" spans="1:6" ht="19.8" thickTop="1" thickBot="1">
      <c r="A25" s="2"/>
      <c r="C25" s="47"/>
      <c r="D25" s="54"/>
      <c r="E25" s="24"/>
      <c r="F25" s="25"/>
    </row>
    <row r="26" spans="1:6" ht="19.2" thickBot="1">
      <c r="A26" s="26" t="s">
        <v>674</v>
      </c>
      <c r="B26" s="36" t="s">
        <v>692</v>
      </c>
      <c r="C26" s="37"/>
      <c r="D26" s="37"/>
      <c r="E26" s="38"/>
      <c r="F26" s="39"/>
    </row>
    <row r="27" spans="1:6">
      <c r="A27" s="2"/>
      <c r="B27" s="52" t="s">
        <v>2</v>
      </c>
      <c r="C27" s="47">
        <v>1</v>
      </c>
      <c r="D27" s="54" t="s">
        <v>58</v>
      </c>
      <c r="E27" s="19">
        <f>'Insumos sanitarios'!$D$149</f>
        <v>14.73</v>
      </c>
      <c r="F27" s="20">
        <f t="shared" ref="F27:F36" si="1">+E27*C27</f>
        <v>14.73</v>
      </c>
    </row>
    <row r="28" spans="1:6">
      <c r="A28" s="2"/>
      <c r="B28" s="52" t="s">
        <v>3</v>
      </c>
      <c r="C28" s="47">
        <v>1</v>
      </c>
      <c r="D28" s="54" t="s">
        <v>58</v>
      </c>
      <c r="E28" s="19">
        <f>'Insumos sanitarios'!$D$150</f>
        <v>8.93</v>
      </c>
      <c r="F28" s="20">
        <f t="shared" si="1"/>
        <v>8.93</v>
      </c>
    </row>
    <row r="29" spans="1:6">
      <c r="A29" s="2"/>
      <c r="B29" s="52" t="s">
        <v>4</v>
      </c>
      <c r="C29" s="47">
        <v>1</v>
      </c>
      <c r="D29" s="54" t="s">
        <v>58</v>
      </c>
      <c r="E29" s="19">
        <f>'Insumos sanitarios'!$D$29</f>
        <v>45.35</v>
      </c>
      <c r="F29" s="20">
        <f t="shared" si="1"/>
        <v>45.35</v>
      </c>
    </row>
    <row r="30" spans="1:6">
      <c r="A30" s="2"/>
      <c r="B30" s="52" t="s">
        <v>5</v>
      </c>
      <c r="C30" s="47">
        <v>1</v>
      </c>
      <c r="D30" s="54" t="s">
        <v>58</v>
      </c>
      <c r="E30" s="19">
        <f>'Insumos sanitarios'!$D$151</f>
        <v>4.75</v>
      </c>
      <c r="F30" s="20">
        <f t="shared" si="1"/>
        <v>4.75</v>
      </c>
    </row>
    <row r="31" spans="1:6">
      <c r="A31" s="2"/>
      <c r="B31" s="52" t="s">
        <v>6</v>
      </c>
      <c r="C31" s="47">
        <v>1</v>
      </c>
      <c r="D31" s="54" t="s">
        <v>58</v>
      </c>
      <c r="E31" s="19">
        <f>'Insumos sanitarios'!$D$152</f>
        <v>44.08</v>
      </c>
      <c r="F31" s="20">
        <f t="shared" si="1"/>
        <v>44.08</v>
      </c>
    </row>
    <row r="32" spans="1:6">
      <c r="A32" s="2"/>
      <c r="B32" s="52" t="s">
        <v>7</v>
      </c>
      <c r="C32" s="47">
        <v>1</v>
      </c>
      <c r="D32" s="54" t="s">
        <v>58</v>
      </c>
      <c r="E32" s="19">
        <f>'Insumos sanitarios'!$D$153</f>
        <v>143.84</v>
      </c>
      <c r="F32" s="20">
        <f t="shared" si="1"/>
        <v>143.84</v>
      </c>
    </row>
    <row r="33" spans="1:6">
      <c r="A33" s="2"/>
      <c r="B33" s="52" t="s">
        <v>9</v>
      </c>
      <c r="C33" s="47">
        <v>1</v>
      </c>
      <c r="D33" s="54" t="s">
        <v>58</v>
      </c>
      <c r="E33" s="19">
        <f>'Insumos sanitarios'!$D$154</f>
        <v>140</v>
      </c>
      <c r="F33" s="20">
        <f t="shared" si="1"/>
        <v>140</v>
      </c>
    </row>
    <row r="34" spans="1:6">
      <c r="A34" s="2"/>
      <c r="B34" s="52" t="s">
        <v>8</v>
      </c>
      <c r="C34" s="47">
        <v>2</v>
      </c>
      <c r="D34" s="54" t="s">
        <v>58</v>
      </c>
      <c r="E34" s="19">
        <f>'Insumos sanitarios'!$D$156</f>
        <v>11.715999999999999</v>
      </c>
      <c r="F34" s="20">
        <f t="shared" si="1"/>
        <v>23.431999999999999</v>
      </c>
    </row>
    <row r="35" spans="1:6">
      <c r="A35" s="2"/>
      <c r="B35" s="52" t="s">
        <v>244</v>
      </c>
      <c r="C35" s="47">
        <v>1</v>
      </c>
      <c r="D35" s="54" t="s">
        <v>58</v>
      </c>
      <c r="E35" s="152">
        <f>'Insumos sanitarios'!D111</f>
        <v>3350</v>
      </c>
      <c r="F35" s="20">
        <f t="shared" si="1"/>
        <v>3350</v>
      </c>
    </row>
    <row r="36" spans="1:6">
      <c r="A36" s="2"/>
      <c r="B36" s="52" t="s">
        <v>243</v>
      </c>
      <c r="C36" s="47">
        <v>1</v>
      </c>
      <c r="D36" s="54" t="s">
        <v>58</v>
      </c>
      <c r="E36" s="19">
        <f>'Mano de Obra Sanitaria'!D11</f>
        <v>809.27</v>
      </c>
      <c r="F36" s="20">
        <f t="shared" si="1"/>
        <v>809.27</v>
      </c>
    </row>
    <row r="37" spans="1:6">
      <c r="A37" s="2"/>
      <c r="B37" s="52" t="s">
        <v>484</v>
      </c>
      <c r="C37" s="47">
        <v>0.3</v>
      </c>
      <c r="D37" s="54" t="s">
        <v>58</v>
      </c>
      <c r="E37" s="19">
        <f>'Insumos sanitarios'!$D$180</f>
        <v>146.28</v>
      </c>
      <c r="F37" s="20">
        <v>43.884</v>
      </c>
    </row>
    <row r="38" spans="1:6">
      <c r="A38" s="2"/>
      <c r="B38" s="52" t="s">
        <v>485</v>
      </c>
      <c r="C38" s="47">
        <v>0.5</v>
      </c>
      <c r="D38" s="54" t="s">
        <v>58</v>
      </c>
      <c r="E38" s="19">
        <f>'Insumos sanitarios'!$D$168</f>
        <v>16.170000000000002</v>
      </c>
      <c r="F38" s="20">
        <v>8.0850000000000009</v>
      </c>
    </row>
    <row r="39" spans="1:6" ht="19.2" thickBot="1">
      <c r="A39" s="2"/>
      <c r="B39" s="42"/>
      <c r="C39" s="43"/>
      <c r="D39" s="44"/>
      <c r="E39" s="45" t="s">
        <v>41</v>
      </c>
      <c r="F39" s="46">
        <f>SUM(F27:F38)</f>
        <v>4636.3509999999997</v>
      </c>
    </row>
    <row r="40" spans="1:6" ht="19.8" thickTop="1" thickBot="1">
      <c r="A40" s="2"/>
      <c r="B40" s="42"/>
      <c r="C40" s="43"/>
      <c r="D40" s="44"/>
      <c r="E40" s="50"/>
      <c r="F40" s="51"/>
    </row>
    <row r="41" spans="1:6" ht="19.2" thickBot="1">
      <c r="A41" s="26" t="s">
        <v>675</v>
      </c>
      <c r="B41" s="36" t="s">
        <v>245</v>
      </c>
      <c r="C41" s="37"/>
      <c r="D41" s="37"/>
      <c r="E41" s="38"/>
      <c r="F41" s="39"/>
    </row>
    <row r="42" spans="1:6">
      <c r="A42" s="2"/>
      <c r="B42" s="77" t="s">
        <v>2</v>
      </c>
      <c r="C42" s="47">
        <v>2</v>
      </c>
      <c r="D42" s="53" t="s">
        <v>58</v>
      </c>
      <c r="E42" s="19">
        <f>'Insumos sanitarios'!$D$149</f>
        <v>14.73</v>
      </c>
      <c r="F42" s="20">
        <f t="shared" ref="F42:F53" si="2">+C42*E42</f>
        <v>29.46</v>
      </c>
    </row>
    <row r="43" spans="1:6">
      <c r="A43" s="2"/>
      <c r="B43" s="77" t="s">
        <v>3</v>
      </c>
      <c r="C43" s="47">
        <v>2</v>
      </c>
      <c r="D43" s="53" t="s">
        <v>58</v>
      </c>
      <c r="E43" s="19">
        <f>'Insumos sanitarios'!$D$150</f>
        <v>8.93</v>
      </c>
      <c r="F43" s="20">
        <f t="shared" si="2"/>
        <v>17.86</v>
      </c>
    </row>
    <row r="44" spans="1:6">
      <c r="A44" s="2"/>
      <c r="B44" s="77" t="s">
        <v>10</v>
      </c>
      <c r="C44" s="47">
        <v>1</v>
      </c>
      <c r="D44" s="53" t="s">
        <v>58</v>
      </c>
      <c r="E44" s="19">
        <f>'Insumos sanitarios'!$D$30</f>
        <v>51.967999999999996</v>
      </c>
      <c r="F44" s="20">
        <f t="shared" si="2"/>
        <v>51.967999999999996</v>
      </c>
    </row>
    <row r="45" spans="1:6">
      <c r="A45" s="2"/>
      <c r="B45" s="77" t="s">
        <v>11</v>
      </c>
      <c r="C45" s="47">
        <v>1</v>
      </c>
      <c r="D45" s="53" t="s">
        <v>58</v>
      </c>
      <c r="E45" s="19">
        <f>'Insumos sanitarios'!$D$157</f>
        <v>50</v>
      </c>
      <c r="F45" s="20">
        <f t="shared" si="2"/>
        <v>50</v>
      </c>
    </row>
    <row r="46" spans="1:6">
      <c r="A46" s="2"/>
      <c r="B46" s="77" t="s">
        <v>5</v>
      </c>
      <c r="C46" s="47">
        <v>2</v>
      </c>
      <c r="D46" s="53" t="s">
        <v>58</v>
      </c>
      <c r="E46" s="19">
        <f>'Insumos sanitarios'!$D$151</f>
        <v>4.75</v>
      </c>
      <c r="F46" s="20">
        <f t="shared" si="2"/>
        <v>9.5</v>
      </c>
    </row>
    <row r="47" spans="1:6">
      <c r="A47" s="2"/>
      <c r="B47" s="77" t="s">
        <v>7</v>
      </c>
      <c r="C47" s="47">
        <v>2</v>
      </c>
      <c r="D47" s="53" t="s">
        <v>58</v>
      </c>
      <c r="E47" s="19">
        <f>'Insumos sanitarios'!$D$153</f>
        <v>143.84</v>
      </c>
      <c r="F47" s="20">
        <f t="shared" si="2"/>
        <v>287.68</v>
      </c>
    </row>
    <row r="48" spans="1:6">
      <c r="A48" s="2"/>
      <c r="B48" s="77" t="s">
        <v>9</v>
      </c>
      <c r="C48" s="47">
        <v>2</v>
      </c>
      <c r="D48" s="53" t="s">
        <v>58</v>
      </c>
      <c r="E48" s="19">
        <f>'Insumos sanitarios'!$D$155</f>
        <v>140</v>
      </c>
      <c r="F48" s="20">
        <f t="shared" si="2"/>
        <v>280</v>
      </c>
    </row>
    <row r="49" spans="1:6">
      <c r="A49" s="2"/>
      <c r="B49" s="77" t="s">
        <v>113</v>
      </c>
      <c r="C49" s="47">
        <v>1</v>
      </c>
      <c r="D49" s="53" t="s">
        <v>58</v>
      </c>
      <c r="E49" s="152">
        <f>'Insumos sanitarios'!$D$81</f>
        <v>2018.3999999999999</v>
      </c>
      <c r="F49" s="20">
        <f t="shared" si="2"/>
        <v>2018.3999999999999</v>
      </c>
    </row>
    <row r="50" spans="1:6">
      <c r="A50" s="2"/>
      <c r="B50" s="52" t="s">
        <v>246</v>
      </c>
      <c r="C50" s="47">
        <v>1</v>
      </c>
      <c r="D50" s="53" t="s">
        <v>58</v>
      </c>
      <c r="E50" s="152">
        <f>'Insumos sanitarios'!D86</f>
        <v>2900</v>
      </c>
      <c r="F50" s="20">
        <f t="shared" si="2"/>
        <v>2900</v>
      </c>
    </row>
    <row r="51" spans="1:6">
      <c r="A51" s="2"/>
      <c r="B51" s="77" t="s">
        <v>14</v>
      </c>
      <c r="C51" s="47">
        <v>4</v>
      </c>
      <c r="D51" s="53" t="s">
        <v>58</v>
      </c>
      <c r="E51" s="152">
        <f>'Insumos sanitarios'!$D$160</f>
        <v>1.17</v>
      </c>
      <c r="F51" s="20">
        <f t="shared" si="2"/>
        <v>4.68</v>
      </c>
    </row>
    <row r="52" spans="1:6">
      <c r="A52" s="2"/>
      <c r="B52" s="77" t="s">
        <v>15</v>
      </c>
      <c r="C52" s="47">
        <v>4</v>
      </c>
      <c r="D52" s="53" t="s">
        <v>58</v>
      </c>
      <c r="E52" s="19">
        <f>'Insumos sanitarios'!$D$161</f>
        <v>1.97</v>
      </c>
      <c r="F52" s="20">
        <f t="shared" si="2"/>
        <v>7.88</v>
      </c>
    </row>
    <row r="53" spans="1:6" ht="32.4">
      <c r="A53" s="2"/>
      <c r="B53" s="150" t="s">
        <v>114</v>
      </c>
      <c r="C53" s="47">
        <v>1</v>
      </c>
      <c r="D53" s="53" t="s">
        <v>58</v>
      </c>
      <c r="E53" s="20">
        <f>'Mano de Obra Sanitaria'!D17</f>
        <v>1416.63</v>
      </c>
      <c r="F53" s="20">
        <f t="shared" si="2"/>
        <v>1416.63</v>
      </c>
    </row>
    <row r="54" spans="1:6" ht="19.2" thickBot="1">
      <c r="A54" s="2"/>
      <c r="B54" s="42"/>
      <c r="C54" s="43"/>
      <c r="D54" s="44"/>
      <c r="E54" s="45" t="s">
        <v>41</v>
      </c>
      <c r="F54" s="46">
        <f>SUM(F42:F53)</f>
        <v>7074.0580000000009</v>
      </c>
    </row>
    <row r="55" spans="1:6" ht="19.8" thickTop="1" thickBot="1">
      <c r="A55" s="2"/>
      <c r="B55" s="42"/>
      <c r="C55" s="43"/>
      <c r="D55" s="44"/>
      <c r="E55" s="50"/>
      <c r="F55" s="51"/>
    </row>
    <row r="56" spans="1:6" ht="19.2" thickBot="1">
      <c r="A56" s="26" t="s">
        <v>676</v>
      </c>
      <c r="B56" s="36" t="s">
        <v>693</v>
      </c>
      <c r="C56" s="37"/>
      <c r="D56" s="37"/>
      <c r="E56" s="38"/>
      <c r="F56" s="39"/>
    </row>
    <row r="57" spans="1:6">
      <c r="A57" s="2"/>
      <c r="B57" s="77" t="s">
        <v>2</v>
      </c>
      <c r="C57" s="47">
        <v>2</v>
      </c>
      <c r="D57" s="53" t="s">
        <v>58</v>
      </c>
      <c r="E57" s="19">
        <f>'Insumos sanitarios'!$D$149</f>
        <v>14.73</v>
      </c>
      <c r="F57" s="20">
        <f t="shared" ref="F57:F68" si="3">+C57*E57</f>
        <v>29.46</v>
      </c>
    </row>
    <row r="58" spans="1:6">
      <c r="A58" s="2"/>
      <c r="B58" s="77" t="s">
        <v>3</v>
      </c>
      <c r="C58" s="47">
        <v>2</v>
      </c>
      <c r="D58" s="53" t="s">
        <v>58</v>
      </c>
      <c r="E58" s="19">
        <f>'Insumos sanitarios'!$D$150</f>
        <v>8.93</v>
      </c>
      <c r="F58" s="20">
        <f t="shared" si="3"/>
        <v>17.86</v>
      </c>
    </row>
    <row r="59" spans="1:6">
      <c r="A59" s="2"/>
      <c r="B59" s="77" t="s">
        <v>10</v>
      </c>
      <c r="C59" s="47">
        <v>1</v>
      </c>
      <c r="D59" s="53" t="s">
        <v>58</v>
      </c>
      <c r="E59" s="19">
        <f>'Insumos sanitarios'!$D$30</f>
        <v>51.967999999999996</v>
      </c>
      <c r="F59" s="20">
        <f t="shared" si="3"/>
        <v>51.967999999999996</v>
      </c>
    </row>
    <row r="60" spans="1:6">
      <c r="A60" s="2"/>
      <c r="B60" s="77" t="s">
        <v>11</v>
      </c>
      <c r="C60" s="47">
        <v>1</v>
      </c>
      <c r="D60" s="53" t="s">
        <v>58</v>
      </c>
      <c r="E60" s="19">
        <f>'Insumos sanitarios'!$D$157</f>
        <v>50</v>
      </c>
      <c r="F60" s="20">
        <f t="shared" si="3"/>
        <v>50</v>
      </c>
    </row>
    <row r="61" spans="1:6">
      <c r="A61" s="2"/>
      <c r="B61" s="77" t="s">
        <v>5</v>
      </c>
      <c r="C61" s="47">
        <v>2</v>
      </c>
      <c r="D61" s="53" t="s">
        <v>58</v>
      </c>
      <c r="E61" s="19">
        <f>'Insumos sanitarios'!$D$151</f>
        <v>4.75</v>
      </c>
      <c r="F61" s="20">
        <f t="shared" si="3"/>
        <v>9.5</v>
      </c>
    </row>
    <row r="62" spans="1:6">
      <c r="A62" s="2"/>
      <c r="B62" s="77" t="s">
        <v>7</v>
      </c>
      <c r="C62" s="47">
        <v>2</v>
      </c>
      <c r="D62" s="53" t="s">
        <v>58</v>
      </c>
      <c r="E62" s="19">
        <f>'Insumos sanitarios'!$D$153</f>
        <v>143.84</v>
      </c>
      <c r="F62" s="20">
        <f t="shared" si="3"/>
        <v>287.68</v>
      </c>
    </row>
    <row r="63" spans="1:6">
      <c r="A63" s="2"/>
      <c r="B63" s="77" t="s">
        <v>9</v>
      </c>
      <c r="C63" s="47">
        <v>2</v>
      </c>
      <c r="D63" s="53" t="s">
        <v>58</v>
      </c>
      <c r="E63" s="19">
        <f>'Insumos sanitarios'!$D$155</f>
        <v>140</v>
      </c>
      <c r="F63" s="20">
        <f t="shared" si="3"/>
        <v>280</v>
      </c>
    </row>
    <row r="64" spans="1:6">
      <c r="A64" s="2"/>
      <c r="B64" s="77" t="s">
        <v>113</v>
      </c>
      <c r="C64" s="47">
        <v>1</v>
      </c>
      <c r="D64" s="53" t="s">
        <v>58</v>
      </c>
      <c r="E64" s="152">
        <f>'Insumos sanitarios'!$D$81</f>
        <v>2018.3999999999999</v>
      </c>
      <c r="F64" s="20">
        <f t="shared" si="3"/>
        <v>2018.3999999999999</v>
      </c>
    </row>
    <row r="65" spans="1:6">
      <c r="A65" s="2"/>
      <c r="B65" s="77" t="s">
        <v>421</v>
      </c>
      <c r="C65" s="47">
        <v>1</v>
      </c>
      <c r="D65" s="53" t="s">
        <v>58</v>
      </c>
      <c r="E65" s="19">
        <f>'Insumos sanitarios'!D99</f>
        <v>3436.16</v>
      </c>
      <c r="F65" s="20">
        <f t="shared" si="3"/>
        <v>3436.16</v>
      </c>
    </row>
    <row r="66" spans="1:6">
      <c r="A66" s="2"/>
      <c r="B66" s="77" t="s">
        <v>14</v>
      </c>
      <c r="C66" s="47">
        <v>4</v>
      </c>
      <c r="D66" s="53" t="s">
        <v>58</v>
      </c>
      <c r="E66" s="152">
        <f>'Insumos sanitarios'!$D$160</f>
        <v>1.17</v>
      </c>
      <c r="F66" s="20">
        <f t="shared" si="3"/>
        <v>4.68</v>
      </c>
    </row>
    <row r="67" spans="1:6">
      <c r="A67" s="2"/>
      <c r="B67" s="77" t="s">
        <v>15</v>
      </c>
      <c r="C67" s="47">
        <v>4</v>
      </c>
      <c r="D67" s="53" t="s">
        <v>58</v>
      </c>
      <c r="E67" s="19">
        <f>'Insumos sanitarios'!$D$161</f>
        <v>1.97</v>
      </c>
      <c r="F67" s="20">
        <f t="shared" si="3"/>
        <v>7.88</v>
      </c>
    </row>
    <row r="68" spans="1:6">
      <c r="A68" s="2"/>
      <c r="B68" s="150" t="s">
        <v>694</v>
      </c>
      <c r="C68" s="47">
        <v>1</v>
      </c>
      <c r="D68" s="53" t="s">
        <v>58</v>
      </c>
      <c r="E68" s="20">
        <f>'Mano de Obra Sanitaria'!D17</f>
        <v>1416.63</v>
      </c>
      <c r="F68" s="20">
        <f t="shared" si="3"/>
        <v>1416.63</v>
      </c>
    </row>
    <row r="69" spans="1:6" ht="19.2" thickBot="1">
      <c r="A69" s="2"/>
      <c r="B69" s="42"/>
      <c r="C69" s="43"/>
      <c r="D69" s="44"/>
      <c r="E69" s="45" t="s">
        <v>41</v>
      </c>
      <c r="F69" s="46">
        <f>SUM(F57:F68)</f>
        <v>7610.2180000000008</v>
      </c>
    </row>
    <row r="70" spans="1:6" ht="19.8" thickTop="1" thickBot="1">
      <c r="A70" s="26" t="s">
        <v>677</v>
      </c>
      <c r="B70" s="36" t="s">
        <v>247</v>
      </c>
      <c r="C70" s="37"/>
      <c r="D70" s="37"/>
      <c r="E70" s="38"/>
      <c r="F70" s="39"/>
    </row>
    <row r="71" spans="1:6">
      <c r="A71" s="2"/>
      <c r="B71" s="77" t="s">
        <v>2</v>
      </c>
      <c r="C71" s="47">
        <v>2</v>
      </c>
      <c r="D71" s="53" t="s">
        <v>58</v>
      </c>
      <c r="E71" s="19">
        <f>'Insumos sanitarios'!$D$149</f>
        <v>14.73</v>
      </c>
      <c r="F71" s="20">
        <f t="shared" ref="F71:F82" si="4">+C71*E71</f>
        <v>29.46</v>
      </c>
    </row>
    <row r="72" spans="1:6">
      <c r="A72" s="2"/>
      <c r="B72" s="77" t="s">
        <v>3</v>
      </c>
      <c r="C72" s="47">
        <v>2</v>
      </c>
      <c r="D72" s="53" t="s">
        <v>58</v>
      </c>
      <c r="E72" s="19">
        <f>'Insumos sanitarios'!$D$150</f>
        <v>8.93</v>
      </c>
      <c r="F72" s="20">
        <f t="shared" si="4"/>
        <v>17.86</v>
      </c>
    </row>
    <row r="73" spans="1:6">
      <c r="A73" s="2"/>
      <c r="B73" s="77" t="s">
        <v>10</v>
      </c>
      <c r="C73" s="47">
        <v>1</v>
      </c>
      <c r="D73" s="53" t="s">
        <v>58</v>
      </c>
      <c r="E73" s="19">
        <f>'Insumos sanitarios'!$D$30</f>
        <v>51.967999999999996</v>
      </c>
      <c r="F73" s="20">
        <f t="shared" si="4"/>
        <v>51.967999999999996</v>
      </c>
    </row>
    <row r="74" spans="1:6">
      <c r="A74" s="2"/>
      <c r="B74" s="77" t="s">
        <v>11</v>
      </c>
      <c r="C74" s="47">
        <v>1</v>
      </c>
      <c r="D74" s="53" t="s">
        <v>58</v>
      </c>
      <c r="E74" s="19">
        <f>'Insumos sanitarios'!$D$157</f>
        <v>50</v>
      </c>
      <c r="F74" s="20">
        <f t="shared" si="4"/>
        <v>50</v>
      </c>
    </row>
    <row r="75" spans="1:6">
      <c r="A75" s="2"/>
      <c r="B75" s="77" t="s">
        <v>5</v>
      </c>
      <c r="C75" s="47">
        <v>2</v>
      </c>
      <c r="D75" s="53" t="s">
        <v>58</v>
      </c>
      <c r="E75" s="19">
        <f>'Insumos sanitarios'!$D$151</f>
        <v>4.75</v>
      </c>
      <c r="F75" s="20">
        <f t="shared" si="4"/>
        <v>9.5</v>
      </c>
    </row>
    <row r="76" spans="1:6">
      <c r="A76" s="2"/>
      <c r="B76" s="77" t="s">
        <v>7</v>
      </c>
      <c r="C76" s="47">
        <v>2</v>
      </c>
      <c r="D76" s="53" t="s">
        <v>58</v>
      </c>
      <c r="E76" s="19">
        <f>'Insumos sanitarios'!$D$153</f>
        <v>143.84</v>
      </c>
      <c r="F76" s="20">
        <f t="shared" si="4"/>
        <v>287.68</v>
      </c>
    </row>
    <row r="77" spans="1:6">
      <c r="A77" s="2"/>
      <c r="B77" s="77" t="s">
        <v>9</v>
      </c>
      <c r="C77" s="47">
        <v>2</v>
      </c>
      <c r="D77" s="53" t="s">
        <v>58</v>
      </c>
      <c r="E77" s="19">
        <f>'Insumos sanitarios'!$D$155</f>
        <v>140</v>
      </c>
      <c r="F77" s="20">
        <f t="shared" si="4"/>
        <v>280</v>
      </c>
    </row>
    <row r="78" spans="1:6">
      <c r="A78" s="2"/>
      <c r="B78" s="77" t="s">
        <v>518</v>
      </c>
      <c r="C78" s="47">
        <v>1</v>
      </c>
      <c r="D78" s="53" t="s">
        <v>58</v>
      </c>
      <c r="E78" s="19">
        <f>'Insumos sanitarios'!D104</f>
        <v>1850.2399999999998</v>
      </c>
      <c r="F78" s="20">
        <f t="shared" si="4"/>
        <v>1850.2399999999998</v>
      </c>
    </row>
    <row r="79" spans="1:6">
      <c r="A79" s="2"/>
      <c r="B79" s="77" t="s">
        <v>248</v>
      </c>
      <c r="C79" s="47">
        <v>1</v>
      </c>
      <c r="D79" s="53" t="s">
        <v>58</v>
      </c>
      <c r="E79" s="19">
        <f>'Insumos sanitarios'!D101</f>
        <v>1321.6</v>
      </c>
      <c r="F79" s="20">
        <f t="shared" si="4"/>
        <v>1321.6</v>
      </c>
    </row>
    <row r="80" spans="1:6">
      <c r="A80" s="2"/>
      <c r="B80" s="77" t="s">
        <v>14</v>
      </c>
      <c r="C80" s="47">
        <v>4</v>
      </c>
      <c r="D80" s="53" t="s">
        <v>58</v>
      </c>
      <c r="E80" s="152">
        <f>'Insumos sanitarios'!$D$160</f>
        <v>1.17</v>
      </c>
      <c r="F80" s="20">
        <f t="shared" si="4"/>
        <v>4.68</v>
      </c>
    </row>
    <row r="81" spans="1:6">
      <c r="A81" s="2"/>
      <c r="B81" s="77" t="s">
        <v>15</v>
      </c>
      <c r="C81" s="47">
        <v>4</v>
      </c>
      <c r="D81" s="53" t="s">
        <v>58</v>
      </c>
      <c r="E81" s="19">
        <f>'Insumos sanitarios'!$D$161</f>
        <v>1.97</v>
      </c>
      <c r="F81" s="20">
        <f t="shared" si="4"/>
        <v>7.88</v>
      </c>
    </row>
    <row r="82" spans="1:6">
      <c r="A82" s="2"/>
      <c r="B82" s="77" t="s">
        <v>114</v>
      </c>
      <c r="C82" s="47">
        <v>1</v>
      </c>
      <c r="D82" s="53" t="s">
        <v>58</v>
      </c>
      <c r="E82" s="20">
        <f>'Mano de Obra Sanitaria'!D18</f>
        <v>809.27</v>
      </c>
      <c r="F82" s="20">
        <f t="shared" si="4"/>
        <v>809.27</v>
      </c>
    </row>
    <row r="83" spans="1:6" ht="19.2" thickBot="1">
      <c r="A83" s="2"/>
      <c r="B83" s="42"/>
      <c r="C83" s="43"/>
      <c r="D83" s="44"/>
      <c r="E83" s="45" t="s">
        <v>41</v>
      </c>
      <c r="F83" s="46">
        <f>SUM(F71:F82)</f>
        <v>4720.137999999999</v>
      </c>
    </row>
    <row r="84" spans="1:6" ht="19.2" thickTop="1">
      <c r="A84" s="2"/>
      <c r="C84" s="47"/>
      <c r="D84" s="54"/>
    </row>
    <row r="85" spans="1:6" ht="19.2" thickBot="1">
      <c r="A85" s="2"/>
      <c r="C85" s="47"/>
      <c r="D85" s="54"/>
    </row>
    <row r="86" spans="1:6" ht="19.2" thickBot="1">
      <c r="A86" s="26" t="s">
        <v>678</v>
      </c>
      <c r="B86" s="36" t="s">
        <v>130</v>
      </c>
      <c r="C86" s="37"/>
      <c r="D86" s="37"/>
      <c r="E86" s="38"/>
      <c r="F86" s="39"/>
    </row>
    <row r="87" spans="1:6">
      <c r="A87" s="2"/>
      <c r="B87" s="40" t="s">
        <v>29</v>
      </c>
      <c r="C87" s="59">
        <v>2</v>
      </c>
      <c r="D87" s="54" t="s">
        <v>58</v>
      </c>
      <c r="E87" s="19">
        <v>16.25</v>
      </c>
      <c r="F87" s="72">
        <f t="shared" ref="F87:F94" si="5">SUM(E87*C87)</f>
        <v>32.5</v>
      </c>
    </row>
    <row r="88" spans="1:6">
      <c r="A88" s="2"/>
      <c r="B88" s="40" t="s">
        <v>30</v>
      </c>
      <c r="C88" s="59">
        <v>0.3</v>
      </c>
      <c r="D88" s="54" t="s">
        <v>58</v>
      </c>
      <c r="E88" s="19">
        <v>255.35900000000001</v>
      </c>
      <c r="F88" s="72">
        <f t="shared" si="5"/>
        <v>76.607699999999994</v>
      </c>
    </row>
    <row r="89" spans="1:6">
      <c r="A89" s="2"/>
      <c r="B89" s="40" t="s">
        <v>31</v>
      </c>
      <c r="C89" s="59">
        <v>1</v>
      </c>
      <c r="D89" s="54" t="s">
        <v>58</v>
      </c>
      <c r="E89" s="19">
        <f>'Insumos sanitarios'!D116</f>
        <v>6216</v>
      </c>
      <c r="F89" s="72">
        <f t="shared" si="5"/>
        <v>6216</v>
      </c>
    </row>
    <row r="90" spans="1:6">
      <c r="A90" s="2"/>
      <c r="B90" s="40" t="s">
        <v>454</v>
      </c>
      <c r="C90" s="59">
        <v>1</v>
      </c>
      <c r="D90" s="54" t="s">
        <v>58</v>
      </c>
      <c r="E90" s="19">
        <f>'Insumos sanitarios'!D82</f>
        <v>3500</v>
      </c>
      <c r="F90" s="72">
        <f t="shared" si="5"/>
        <v>3500</v>
      </c>
    </row>
    <row r="91" spans="1:6" ht="32.4">
      <c r="A91" s="2"/>
      <c r="B91" s="73" t="s">
        <v>32</v>
      </c>
      <c r="C91" s="59">
        <v>1</v>
      </c>
      <c r="D91" s="54" t="s">
        <v>78</v>
      </c>
      <c r="E91" s="19">
        <f>'Mano de Obra Sanitaria'!D19</f>
        <v>1500</v>
      </c>
      <c r="F91" s="72">
        <f t="shared" si="5"/>
        <v>1500</v>
      </c>
    </row>
    <row r="92" spans="1:6">
      <c r="A92" s="2"/>
      <c r="B92" s="40" t="s">
        <v>131</v>
      </c>
      <c r="C92" s="59">
        <v>1</v>
      </c>
      <c r="D92" s="54" t="s">
        <v>78</v>
      </c>
      <c r="E92" s="19">
        <v>550</v>
      </c>
      <c r="F92" s="72">
        <f t="shared" si="5"/>
        <v>550</v>
      </c>
    </row>
    <row r="93" spans="1:6">
      <c r="A93" s="2"/>
      <c r="B93" s="40" t="s">
        <v>33</v>
      </c>
      <c r="C93" s="59">
        <v>1</v>
      </c>
      <c r="D93" s="54" t="s">
        <v>78</v>
      </c>
      <c r="E93" s="19">
        <f>'Mano de Obra Sanitaria'!$D$21</f>
        <v>750</v>
      </c>
      <c r="F93" s="72">
        <f t="shared" si="5"/>
        <v>750</v>
      </c>
    </row>
    <row r="94" spans="1:6">
      <c r="A94" s="2"/>
      <c r="B94" s="40" t="s">
        <v>34</v>
      </c>
      <c r="C94" s="59">
        <v>1</v>
      </c>
      <c r="D94" s="54" t="s">
        <v>78</v>
      </c>
      <c r="E94" s="19">
        <v>172.5</v>
      </c>
      <c r="F94" s="72">
        <f t="shared" si="5"/>
        <v>172.5</v>
      </c>
    </row>
    <row r="95" spans="1:6" ht="19.2" thickBot="1">
      <c r="A95" s="2"/>
      <c r="B95" s="42"/>
      <c r="C95" s="43"/>
      <c r="D95" s="44"/>
      <c r="E95" s="45" t="s">
        <v>41</v>
      </c>
      <c r="F95" s="46">
        <f>SUM(F86:F94)</f>
        <v>12797.6077</v>
      </c>
    </row>
    <row r="96" spans="1:6" ht="19.2" thickTop="1">
      <c r="A96" s="2"/>
      <c r="B96" s="69"/>
      <c r="C96" s="62"/>
      <c r="D96" s="63"/>
      <c r="E96" s="48"/>
      <c r="F96" s="49"/>
    </row>
    <row r="97" spans="1:6" ht="19.2" thickBot="1">
      <c r="A97" s="2"/>
      <c r="B97" s="69"/>
      <c r="C97" s="62"/>
      <c r="D97" s="63"/>
      <c r="E97" s="48"/>
      <c r="F97" s="49"/>
    </row>
    <row r="98" spans="1:6" ht="19.2" thickBot="1">
      <c r="A98" s="26" t="s">
        <v>679</v>
      </c>
      <c r="B98" s="36" t="s">
        <v>528</v>
      </c>
      <c r="C98" s="37"/>
      <c r="D98" s="37"/>
      <c r="E98" s="38"/>
      <c r="F98" s="39"/>
    </row>
    <row r="99" spans="1:6">
      <c r="A99" s="2"/>
      <c r="B99" s="40" t="s">
        <v>529</v>
      </c>
      <c r="C99" s="59">
        <v>1</v>
      </c>
      <c r="D99" s="54" t="s">
        <v>58</v>
      </c>
      <c r="E99" s="19">
        <v>10000</v>
      </c>
      <c r="F99" s="72">
        <f t="shared" ref="F99:F101" si="6">SUM(E99*C99)</f>
        <v>10000</v>
      </c>
    </row>
    <row r="100" spans="1:6">
      <c r="A100" s="2"/>
      <c r="B100" s="40" t="s">
        <v>530</v>
      </c>
      <c r="C100" s="59">
        <v>1</v>
      </c>
      <c r="D100" s="54" t="s">
        <v>58</v>
      </c>
      <c r="E100" s="19">
        <f>'Insumos sanitarios'!D123</f>
        <v>200000</v>
      </c>
      <c r="F100" s="72">
        <f t="shared" si="6"/>
        <v>200000</v>
      </c>
    </row>
    <row r="101" spans="1:6">
      <c r="A101" s="2"/>
      <c r="B101" s="40" t="s">
        <v>531</v>
      </c>
      <c r="C101" s="59">
        <v>1</v>
      </c>
      <c r="D101" s="54" t="s">
        <v>78</v>
      </c>
      <c r="E101" s="19">
        <f>'Mano de Obra Sanitaria'!D20</f>
        <v>25000</v>
      </c>
      <c r="F101" s="72">
        <f t="shared" si="6"/>
        <v>25000</v>
      </c>
    </row>
    <row r="102" spans="1:6" ht="19.2" thickBot="1">
      <c r="A102" s="2"/>
      <c r="B102" s="42"/>
      <c r="C102" s="43"/>
      <c r="D102" s="44"/>
      <c r="E102" s="45" t="s">
        <v>41</v>
      </c>
      <c r="F102" s="46">
        <f>SUM(F98:F101)</f>
        <v>235000</v>
      </c>
    </row>
    <row r="103" spans="1:6" ht="19.8" thickTop="1" thickBot="1">
      <c r="A103" s="2"/>
      <c r="B103" s="69"/>
      <c r="C103" s="62"/>
      <c r="D103" s="63"/>
      <c r="E103" s="48"/>
      <c r="F103" s="49"/>
    </row>
    <row r="104" spans="1:6" ht="19.2" thickBot="1">
      <c r="A104" s="26" t="s">
        <v>680</v>
      </c>
      <c r="B104" s="36" t="s">
        <v>373</v>
      </c>
      <c r="C104" s="37"/>
      <c r="D104" s="37"/>
      <c r="E104" s="38"/>
      <c r="F104" s="39"/>
    </row>
    <row r="105" spans="1:6">
      <c r="A105" s="2"/>
      <c r="B105" s="40" t="s">
        <v>29</v>
      </c>
      <c r="C105" s="59">
        <v>2</v>
      </c>
      <c r="D105" s="54" t="s">
        <v>58</v>
      </c>
      <c r="E105" s="19">
        <v>16.25</v>
      </c>
      <c r="F105" s="72">
        <f t="shared" ref="F105:F112" si="7">SUM(E105*C105)</f>
        <v>32.5</v>
      </c>
    </row>
    <row r="106" spans="1:6">
      <c r="A106" s="2"/>
      <c r="B106" s="40" t="s">
        <v>30</v>
      </c>
      <c r="C106" s="59">
        <v>0.3</v>
      </c>
      <c r="D106" s="54" t="s">
        <v>58</v>
      </c>
      <c r="E106" s="19">
        <v>255.35900000000001</v>
      </c>
      <c r="F106" s="72">
        <f t="shared" si="7"/>
        <v>76.607699999999994</v>
      </c>
    </row>
    <row r="107" spans="1:6">
      <c r="A107" s="2"/>
      <c r="B107" s="40" t="s">
        <v>339</v>
      </c>
      <c r="C107" s="59">
        <v>1</v>
      </c>
      <c r="D107" s="54" t="s">
        <v>58</v>
      </c>
      <c r="E107" s="19">
        <f>'Insumos sanitarios'!D109</f>
        <v>3601.16</v>
      </c>
      <c r="F107" s="72">
        <f t="shared" si="7"/>
        <v>3601.16</v>
      </c>
    </row>
    <row r="108" spans="1:6">
      <c r="A108" s="2"/>
      <c r="B108" s="40" t="s">
        <v>249</v>
      </c>
      <c r="C108" s="59">
        <v>1</v>
      </c>
      <c r="D108" s="54" t="s">
        <v>58</v>
      </c>
      <c r="E108" s="19">
        <f>'Insumos sanitarios'!D85</f>
        <v>350</v>
      </c>
      <c r="F108" s="72">
        <f t="shared" si="7"/>
        <v>350</v>
      </c>
    </row>
    <row r="109" spans="1:6">
      <c r="A109" s="2"/>
      <c r="B109" s="40" t="s">
        <v>340</v>
      </c>
      <c r="C109" s="59">
        <v>1</v>
      </c>
      <c r="D109" s="54" t="s">
        <v>78</v>
      </c>
      <c r="E109" s="19">
        <f>'Mano de Obra Sanitaria'!D30</f>
        <v>880.1</v>
      </c>
      <c r="F109" s="72">
        <f t="shared" si="7"/>
        <v>880.1</v>
      </c>
    </row>
    <row r="110" spans="1:6">
      <c r="A110" s="2"/>
      <c r="B110" s="40" t="s">
        <v>131</v>
      </c>
      <c r="C110" s="59">
        <v>1</v>
      </c>
      <c r="D110" s="54" t="s">
        <v>78</v>
      </c>
      <c r="E110" s="19">
        <f>'Insumos sanitarios'!D122</f>
        <v>481</v>
      </c>
      <c r="F110" s="72">
        <f t="shared" si="7"/>
        <v>481</v>
      </c>
    </row>
    <row r="111" spans="1:6">
      <c r="A111" s="2"/>
      <c r="B111" s="40" t="s">
        <v>33</v>
      </c>
      <c r="C111" s="59">
        <v>1</v>
      </c>
      <c r="D111" s="54" t="s">
        <v>78</v>
      </c>
      <c r="E111" s="19">
        <f>'Mano de Obra Sanitaria'!$D$21</f>
        <v>750</v>
      </c>
      <c r="F111" s="72">
        <f t="shared" si="7"/>
        <v>750</v>
      </c>
    </row>
    <row r="112" spans="1:6">
      <c r="A112" s="2"/>
      <c r="B112" s="40" t="s">
        <v>34</v>
      </c>
      <c r="C112" s="59">
        <v>1</v>
      </c>
      <c r="D112" s="54" t="s">
        <v>78</v>
      </c>
      <c r="E112" s="19">
        <v>172.5</v>
      </c>
      <c r="F112" s="72">
        <f t="shared" si="7"/>
        <v>172.5</v>
      </c>
    </row>
    <row r="113" spans="1:6" ht="19.2" thickBot="1">
      <c r="A113" s="2"/>
      <c r="B113" s="42"/>
      <c r="C113" s="43"/>
      <c r="D113" s="44"/>
      <c r="E113" s="45" t="s">
        <v>41</v>
      </c>
      <c r="F113" s="46">
        <f>SUM(F104:F112)</f>
        <v>6343.8676999999998</v>
      </c>
    </row>
    <row r="114" spans="1:6" ht="19.2" thickTop="1">
      <c r="A114" s="2"/>
      <c r="B114" s="69"/>
      <c r="C114" s="62"/>
      <c r="D114" s="63"/>
      <c r="E114" s="48"/>
      <c r="F114" s="49"/>
    </row>
    <row r="115" spans="1:6">
      <c r="A115" s="2"/>
      <c r="B115" s="69"/>
      <c r="C115" s="62"/>
      <c r="D115" s="63"/>
      <c r="E115" s="48"/>
      <c r="F115" s="49"/>
    </row>
    <row r="116" spans="1:6" ht="19.2" thickBot="1">
      <c r="A116" s="2"/>
      <c r="B116" s="69"/>
      <c r="C116" s="62"/>
      <c r="D116" s="63"/>
      <c r="E116" s="48"/>
      <c r="F116" s="49"/>
    </row>
    <row r="117" spans="1:6" ht="19.2" thickBot="1">
      <c r="A117" s="26" t="s">
        <v>681</v>
      </c>
      <c r="B117" s="36" t="s">
        <v>488</v>
      </c>
      <c r="C117" s="37"/>
      <c r="D117" s="37"/>
      <c r="E117" s="38"/>
      <c r="F117" s="39"/>
    </row>
    <row r="118" spans="1:6">
      <c r="A118" s="2"/>
      <c r="B118" s="40" t="s">
        <v>695</v>
      </c>
      <c r="C118" s="59">
        <v>1</v>
      </c>
      <c r="D118" s="54" t="s">
        <v>58</v>
      </c>
      <c r="E118" s="19">
        <f>'Insumos sanitarios'!D128</f>
        <v>3800</v>
      </c>
      <c r="F118" s="72">
        <f t="shared" ref="F118:F124" si="8">SUM(E118*C118)</f>
        <v>3800</v>
      </c>
    </row>
    <row r="119" spans="1:6">
      <c r="A119" s="2"/>
      <c r="B119" s="40" t="s">
        <v>38</v>
      </c>
      <c r="C119" s="59">
        <v>1</v>
      </c>
      <c r="D119" s="54" t="s">
        <v>58</v>
      </c>
      <c r="E119" s="19">
        <f>'Insumos sanitarios'!$D$179</f>
        <v>125</v>
      </c>
      <c r="F119" s="72">
        <f t="shared" si="8"/>
        <v>125</v>
      </c>
    </row>
    <row r="120" spans="1:6">
      <c r="A120" s="2"/>
      <c r="B120" s="40" t="s">
        <v>37</v>
      </c>
      <c r="C120" s="59">
        <v>1</v>
      </c>
      <c r="D120" s="54" t="s">
        <v>58</v>
      </c>
      <c r="E120" s="19">
        <f>'Insumos sanitarios'!$D$159</f>
        <v>179.92</v>
      </c>
      <c r="F120" s="72">
        <f t="shared" si="8"/>
        <v>179.92</v>
      </c>
    </row>
    <row r="121" spans="1:6">
      <c r="A121" s="2"/>
      <c r="B121" s="40" t="s">
        <v>17</v>
      </c>
      <c r="C121" s="59">
        <v>1</v>
      </c>
      <c r="D121" s="54" t="s">
        <v>58</v>
      </c>
      <c r="E121" s="19">
        <f>'Insumos sanitarios'!$D$31</f>
        <v>121.875</v>
      </c>
      <c r="F121" s="72">
        <f t="shared" si="8"/>
        <v>121.875</v>
      </c>
    </row>
    <row r="122" spans="1:6">
      <c r="A122" s="2"/>
      <c r="B122" s="40" t="s">
        <v>36</v>
      </c>
      <c r="C122" s="59">
        <v>1</v>
      </c>
      <c r="D122" s="54" t="s">
        <v>58</v>
      </c>
      <c r="E122" s="19">
        <v>3.0290000000000004</v>
      </c>
      <c r="F122" s="72">
        <f t="shared" si="8"/>
        <v>3.0290000000000004</v>
      </c>
    </row>
    <row r="123" spans="1:6">
      <c r="A123" s="2"/>
      <c r="B123" s="40" t="s">
        <v>125</v>
      </c>
      <c r="C123" s="59">
        <v>1</v>
      </c>
      <c r="D123" s="54" t="s">
        <v>78</v>
      </c>
      <c r="E123" s="19">
        <f>'Mano de Obra Sanitaria'!$D$26</f>
        <v>850</v>
      </c>
      <c r="F123" s="72">
        <f t="shared" si="8"/>
        <v>850</v>
      </c>
    </row>
    <row r="124" spans="1:6">
      <c r="A124" s="2"/>
      <c r="B124" s="40" t="s">
        <v>127</v>
      </c>
      <c r="C124" s="59">
        <v>1</v>
      </c>
      <c r="D124" s="54" t="s">
        <v>78</v>
      </c>
      <c r="E124" s="19">
        <v>258.75</v>
      </c>
      <c r="F124" s="72">
        <f t="shared" si="8"/>
        <v>258.75</v>
      </c>
    </row>
    <row r="125" spans="1:6" ht="19.2" thickBot="1">
      <c r="A125" s="2"/>
      <c r="B125" s="42"/>
      <c r="C125" s="43"/>
      <c r="D125" s="44"/>
      <c r="E125" s="45" t="s">
        <v>41</v>
      </c>
      <c r="F125" s="46">
        <f>SUM(F118:F124)</f>
        <v>5338.5740000000005</v>
      </c>
    </row>
    <row r="126" spans="1:6" ht="19.8" thickTop="1" thickBot="1">
      <c r="A126" s="2"/>
      <c r="B126" s="69"/>
      <c r="C126" s="62"/>
      <c r="D126" s="63"/>
      <c r="E126" s="48"/>
      <c r="F126" s="49"/>
    </row>
    <row r="127" spans="1:6" ht="19.2" thickBot="1">
      <c r="A127" s="26" t="s">
        <v>682</v>
      </c>
      <c r="B127" s="36" t="s">
        <v>250</v>
      </c>
      <c r="C127" s="37"/>
      <c r="D127" s="37"/>
      <c r="E127" s="38"/>
      <c r="F127" s="39"/>
    </row>
    <row r="128" spans="1:6">
      <c r="A128" s="2"/>
      <c r="B128" s="40" t="s">
        <v>124</v>
      </c>
      <c r="C128" s="59">
        <v>1</v>
      </c>
      <c r="D128" s="54" t="s">
        <v>58</v>
      </c>
      <c r="E128" s="19">
        <f>'Insumos sanitarios'!D127</f>
        <v>1800</v>
      </c>
      <c r="F128" s="72">
        <f t="shared" ref="F128:F134" si="9">SUM(E128*C128)</f>
        <v>1800</v>
      </c>
    </row>
    <row r="129" spans="1:6">
      <c r="A129" s="2"/>
      <c r="B129" s="40" t="s">
        <v>38</v>
      </c>
      <c r="C129" s="59">
        <v>1</v>
      </c>
      <c r="D129" s="54" t="s">
        <v>58</v>
      </c>
      <c r="E129" s="19">
        <f>'Insumos sanitarios'!$D$179</f>
        <v>125</v>
      </c>
      <c r="F129" s="72">
        <f t="shared" si="9"/>
        <v>125</v>
      </c>
    </row>
    <row r="130" spans="1:6">
      <c r="A130" s="2"/>
      <c r="B130" s="40" t="s">
        <v>37</v>
      </c>
      <c r="C130" s="59">
        <v>1</v>
      </c>
      <c r="D130" s="54" t="s">
        <v>58</v>
      </c>
      <c r="E130" s="19">
        <f>'Insumos sanitarios'!$D$159</f>
        <v>179.92</v>
      </c>
      <c r="F130" s="72">
        <f t="shared" si="9"/>
        <v>179.92</v>
      </c>
    </row>
    <row r="131" spans="1:6">
      <c r="A131" s="2"/>
      <c r="B131" s="40" t="s">
        <v>17</v>
      </c>
      <c r="C131" s="59">
        <v>1</v>
      </c>
      <c r="D131" s="54" t="s">
        <v>58</v>
      </c>
      <c r="E131" s="19">
        <f>'Insumos sanitarios'!$D$31</f>
        <v>121.875</v>
      </c>
      <c r="F131" s="72">
        <f t="shared" si="9"/>
        <v>121.875</v>
      </c>
    </row>
    <row r="132" spans="1:6">
      <c r="A132" s="2"/>
      <c r="B132" s="40" t="s">
        <v>36</v>
      </c>
      <c r="C132" s="59">
        <v>1</v>
      </c>
      <c r="D132" s="54" t="s">
        <v>58</v>
      </c>
      <c r="E132" s="19">
        <v>3.0290000000000004</v>
      </c>
      <c r="F132" s="72">
        <f t="shared" si="9"/>
        <v>3.0290000000000004</v>
      </c>
    </row>
    <row r="133" spans="1:6">
      <c r="A133" s="2"/>
      <c r="B133" s="40" t="s">
        <v>125</v>
      </c>
      <c r="C133" s="59">
        <v>1</v>
      </c>
      <c r="D133" s="54" t="s">
        <v>126</v>
      </c>
      <c r="E133" s="19">
        <f>'Mano de Obra Sanitaria'!$D$26</f>
        <v>850</v>
      </c>
      <c r="F133" s="72">
        <f t="shared" si="9"/>
        <v>850</v>
      </c>
    </row>
    <row r="134" spans="1:6">
      <c r="A134" s="2"/>
      <c r="B134" s="40" t="s">
        <v>127</v>
      </c>
      <c r="C134" s="59">
        <v>1</v>
      </c>
      <c r="D134" s="54" t="s">
        <v>78</v>
      </c>
      <c r="E134" s="19">
        <v>258.75</v>
      </c>
      <c r="F134" s="72">
        <f t="shared" si="9"/>
        <v>258.75</v>
      </c>
    </row>
    <row r="135" spans="1:6" ht="19.2" thickBot="1">
      <c r="A135" s="2"/>
      <c r="B135" s="42"/>
      <c r="C135" s="43"/>
      <c r="D135" s="44"/>
      <c r="E135" s="45" t="s">
        <v>41</v>
      </c>
      <c r="F135" s="46">
        <f>SUM(F128:F134)</f>
        <v>3338.5740000000001</v>
      </c>
    </row>
    <row r="136" spans="1:6" ht="19.8" thickTop="1" thickBot="1">
      <c r="A136" s="2"/>
      <c r="B136" s="42"/>
      <c r="C136" s="43"/>
      <c r="D136" s="44"/>
      <c r="E136" s="50"/>
      <c r="F136" s="51"/>
    </row>
    <row r="137" spans="1:6" ht="19.2" thickBot="1">
      <c r="A137" s="26" t="s">
        <v>683</v>
      </c>
      <c r="B137" s="36" t="s">
        <v>251</v>
      </c>
      <c r="C137" s="37"/>
      <c r="D137" s="37"/>
      <c r="E137" s="38"/>
      <c r="F137" s="39"/>
    </row>
    <row r="138" spans="1:6">
      <c r="A138" s="2"/>
      <c r="B138" s="40" t="str">
        <f>B137</f>
        <v>Lavadero Doble de granito blanco 1er. nivel</v>
      </c>
      <c r="C138" s="59">
        <v>1</v>
      </c>
      <c r="D138" s="54" t="s">
        <v>58</v>
      </c>
      <c r="E138" s="19">
        <f>'Insumos sanitarios'!D126</f>
        <v>3400</v>
      </c>
      <c r="F138" s="72">
        <f t="shared" ref="F138:F144" si="10">SUM(E138*C138)</f>
        <v>3400</v>
      </c>
    </row>
    <row r="139" spans="1:6">
      <c r="A139" s="2"/>
      <c r="B139" s="40" t="s">
        <v>38</v>
      </c>
      <c r="C139" s="59">
        <v>2</v>
      </c>
      <c r="D139" s="54" t="s">
        <v>58</v>
      </c>
      <c r="E139" s="19">
        <f>'Insumos sanitarios'!$D$179</f>
        <v>125</v>
      </c>
      <c r="F139" s="72">
        <f t="shared" si="10"/>
        <v>250</v>
      </c>
    </row>
    <row r="140" spans="1:6">
      <c r="A140" s="2"/>
      <c r="B140" s="40" t="s">
        <v>37</v>
      </c>
      <c r="C140" s="59">
        <v>2</v>
      </c>
      <c r="D140" s="54" t="s">
        <v>58</v>
      </c>
      <c r="E140" s="19">
        <f>'Insumos sanitarios'!$D$159</f>
        <v>179.92</v>
      </c>
      <c r="F140" s="72">
        <f t="shared" si="10"/>
        <v>359.84</v>
      </c>
    </row>
    <row r="141" spans="1:6">
      <c r="A141" s="2"/>
      <c r="B141" s="40" t="s">
        <v>17</v>
      </c>
      <c r="C141" s="59">
        <v>2</v>
      </c>
      <c r="D141" s="54" t="s">
        <v>58</v>
      </c>
      <c r="E141" s="19">
        <f>'Insumos sanitarios'!$D$31</f>
        <v>121.875</v>
      </c>
      <c r="F141" s="72">
        <f t="shared" si="10"/>
        <v>243.75</v>
      </c>
    </row>
    <row r="142" spans="1:6">
      <c r="A142" s="2"/>
      <c r="B142" s="40" t="s">
        <v>36</v>
      </c>
      <c r="C142" s="59">
        <v>2</v>
      </c>
      <c r="D142" s="54" t="s">
        <v>58</v>
      </c>
      <c r="E142" s="19">
        <v>3.0290000000000004</v>
      </c>
      <c r="F142" s="72">
        <f t="shared" si="10"/>
        <v>6.0580000000000007</v>
      </c>
    </row>
    <row r="143" spans="1:6">
      <c r="A143" s="2"/>
      <c r="B143" s="40" t="s">
        <v>125</v>
      </c>
      <c r="C143" s="59">
        <v>1</v>
      </c>
      <c r="D143" s="54" t="s">
        <v>126</v>
      </c>
      <c r="E143" s="19">
        <f>'Mano de Obra Sanitaria'!D27</f>
        <v>1000</v>
      </c>
      <c r="F143" s="72">
        <f t="shared" si="10"/>
        <v>1000</v>
      </c>
    </row>
    <row r="144" spans="1:6">
      <c r="A144" s="2"/>
      <c r="B144" s="40" t="s">
        <v>127</v>
      </c>
      <c r="C144" s="59">
        <v>1</v>
      </c>
      <c r="D144" s="54" t="s">
        <v>78</v>
      </c>
      <c r="E144" s="19">
        <v>258.75</v>
      </c>
      <c r="F144" s="72">
        <f t="shared" si="10"/>
        <v>258.75</v>
      </c>
    </row>
    <row r="145" spans="1:6" ht="19.2" thickBot="1">
      <c r="A145" s="2"/>
      <c r="B145" s="42"/>
      <c r="C145" s="43"/>
      <c r="D145" s="44"/>
      <c r="E145" s="45" t="s">
        <v>41</v>
      </c>
      <c r="F145" s="46">
        <f>SUM(F138:F144)</f>
        <v>5518.3980000000001</v>
      </c>
    </row>
    <row r="146" spans="1:6" ht="19.8" thickTop="1" thickBot="1">
      <c r="A146" s="2"/>
      <c r="B146" s="42"/>
      <c r="C146" s="43"/>
      <c r="D146" s="44"/>
      <c r="E146" s="50"/>
      <c r="F146" s="51"/>
    </row>
    <row r="147" spans="1:6" ht="19.2" thickBot="1">
      <c r="A147" s="26" t="s">
        <v>684</v>
      </c>
      <c r="B147" s="36" t="s">
        <v>697</v>
      </c>
      <c r="C147" s="37"/>
      <c r="D147" s="37"/>
      <c r="E147" s="38"/>
      <c r="F147" s="39"/>
    </row>
    <row r="148" spans="1:6">
      <c r="A148" s="2"/>
      <c r="B148" s="52" t="s">
        <v>371</v>
      </c>
      <c r="C148" s="47">
        <v>1</v>
      </c>
      <c r="D148" s="54" t="s">
        <v>58</v>
      </c>
      <c r="E148" s="19">
        <f>'Insumos sanitarios'!D118</f>
        <v>3500</v>
      </c>
      <c r="F148" s="20">
        <f>+C148*E148</f>
        <v>3500</v>
      </c>
    </row>
    <row r="149" spans="1:6">
      <c r="A149" s="2"/>
      <c r="B149" s="52" t="s">
        <v>43</v>
      </c>
      <c r="C149" s="47">
        <v>2</v>
      </c>
      <c r="D149" s="54" t="s">
        <v>58</v>
      </c>
      <c r="E149" s="19">
        <v>7.41</v>
      </c>
      <c r="F149" s="20">
        <f>+C149*E149</f>
        <v>14.82</v>
      </c>
    </row>
    <row r="150" spans="1:6">
      <c r="A150" s="2"/>
      <c r="B150" s="52" t="s">
        <v>44</v>
      </c>
      <c r="C150" s="47">
        <v>13</v>
      </c>
      <c r="D150" s="54" t="s">
        <v>58</v>
      </c>
      <c r="E150" s="19">
        <v>3.2955000000000001</v>
      </c>
      <c r="F150" s="20">
        <f>+C150*E150</f>
        <v>42.841500000000003</v>
      </c>
    </row>
    <row r="151" spans="1:6">
      <c r="A151" s="2"/>
      <c r="B151" s="52" t="s">
        <v>14</v>
      </c>
      <c r="C151" s="47">
        <v>13</v>
      </c>
      <c r="D151" s="54" t="s">
        <v>58</v>
      </c>
      <c r="E151" s="19">
        <v>1.17</v>
      </c>
      <c r="F151" s="20">
        <f>+C151*E151</f>
        <v>15.209999999999999</v>
      </c>
    </row>
    <row r="152" spans="1:6">
      <c r="A152" s="2"/>
      <c r="B152" s="52" t="s">
        <v>49</v>
      </c>
      <c r="C152" s="47">
        <v>1</v>
      </c>
      <c r="D152" s="54" t="s">
        <v>58</v>
      </c>
      <c r="E152" s="20">
        <f>'Mano de Obra Sanitaria'!D31</f>
        <v>1500</v>
      </c>
      <c r="F152" s="20">
        <f>+C152*E152</f>
        <v>1500</v>
      </c>
    </row>
    <row r="153" spans="1:6" ht="19.2" thickBot="1">
      <c r="A153" s="2"/>
      <c r="B153" s="42"/>
      <c r="C153" s="43"/>
      <c r="D153" s="44"/>
      <c r="E153" s="45" t="s">
        <v>41</v>
      </c>
      <c r="F153" s="46">
        <f>SUM(F148:F152)</f>
        <v>5072.8715000000002</v>
      </c>
    </row>
    <row r="154" spans="1:6" ht="19.8" thickTop="1" thickBot="1">
      <c r="A154" s="2"/>
      <c r="C154" s="47"/>
      <c r="D154" s="54"/>
    </row>
    <row r="155" spans="1:6" ht="19.2" thickBot="1">
      <c r="A155" s="26" t="s">
        <v>685</v>
      </c>
      <c r="B155" s="36" t="s">
        <v>50</v>
      </c>
      <c r="C155" s="37"/>
      <c r="D155" s="37"/>
      <c r="E155" s="38"/>
      <c r="F155" s="39"/>
    </row>
    <row r="156" spans="1:6">
      <c r="A156" s="2"/>
      <c r="B156" s="52" t="s">
        <v>50</v>
      </c>
      <c r="C156" s="47">
        <v>1</v>
      </c>
      <c r="D156" s="54" t="s">
        <v>58</v>
      </c>
      <c r="E156" s="19">
        <f>'Insumos sanitarios'!D119</f>
        <v>600</v>
      </c>
      <c r="F156" s="20">
        <f>+C156*E156</f>
        <v>600</v>
      </c>
    </row>
    <row r="157" spans="1:6">
      <c r="A157" s="2"/>
      <c r="B157" s="52" t="s">
        <v>43</v>
      </c>
      <c r="C157" s="47">
        <v>2</v>
      </c>
      <c r="D157" s="54" t="s">
        <v>58</v>
      </c>
      <c r="E157" s="19">
        <v>7.41</v>
      </c>
      <c r="F157" s="20">
        <f>+C157*E157</f>
        <v>14.82</v>
      </c>
    </row>
    <row r="158" spans="1:6">
      <c r="A158" s="2"/>
      <c r="B158" s="52" t="s">
        <v>44</v>
      </c>
      <c r="C158" s="47">
        <v>13</v>
      </c>
      <c r="D158" s="54" t="s">
        <v>58</v>
      </c>
      <c r="E158" s="19">
        <v>3.2955000000000001</v>
      </c>
      <c r="F158" s="20">
        <f>+C158*E158</f>
        <v>42.841500000000003</v>
      </c>
    </row>
    <row r="159" spans="1:6">
      <c r="A159" s="2"/>
      <c r="B159" s="52" t="s">
        <v>14</v>
      </c>
      <c r="C159" s="47">
        <v>13</v>
      </c>
      <c r="D159" s="54" t="s">
        <v>58</v>
      </c>
      <c r="E159" s="19">
        <v>1.17</v>
      </c>
      <c r="F159" s="20">
        <f>+C159*E159</f>
        <v>15.209999999999999</v>
      </c>
    </row>
    <row r="160" spans="1:6">
      <c r="A160" s="2"/>
      <c r="B160" s="52" t="s">
        <v>49</v>
      </c>
      <c r="C160" s="47">
        <v>1</v>
      </c>
      <c r="D160" s="54" t="s">
        <v>58</v>
      </c>
      <c r="E160" s="20">
        <f>'Mano de Obra Sanitaria'!D32</f>
        <v>750</v>
      </c>
      <c r="F160" s="20">
        <f>+C160*E160</f>
        <v>750</v>
      </c>
    </row>
    <row r="161" spans="1:6" ht="19.2" thickBot="1">
      <c r="A161" s="2"/>
      <c r="B161" s="42"/>
      <c r="C161" s="43"/>
      <c r="D161" s="44"/>
      <c r="E161" s="45" t="s">
        <v>41</v>
      </c>
      <c r="F161" s="46">
        <f>SUM(F156:F160)</f>
        <v>1422.8715000000002</v>
      </c>
    </row>
    <row r="162" spans="1:6" ht="19.2" thickTop="1">
      <c r="A162" s="2"/>
      <c r="C162" s="47"/>
      <c r="D162" s="54"/>
      <c r="E162" s="24"/>
      <c r="F162" s="25"/>
    </row>
    <row r="163" spans="1:6" ht="19.2" thickBot="1">
      <c r="A163" s="2"/>
      <c r="C163" s="47"/>
      <c r="D163" s="54"/>
      <c r="E163" s="24"/>
      <c r="F163" s="25"/>
    </row>
    <row r="164" spans="1:6" ht="19.2" thickBot="1">
      <c r="A164" s="26" t="s">
        <v>686</v>
      </c>
      <c r="B164" s="36" t="s">
        <v>422</v>
      </c>
      <c r="C164" s="37"/>
      <c r="D164" s="37"/>
      <c r="E164" s="38"/>
      <c r="F164" s="39"/>
    </row>
    <row r="165" spans="1:6">
      <c r="A165" s="2"/>
      <c r="B165" s="52" t="s">
        <v>2</v>
      </c>
      <c r="C165" s="47">
        <v>2</v>
      </c>
      <c r="D165" s="54" t="s">
        <v>58</v>
      </c>
      <c r="E165" s="19">
        <f>'Insumos sanitarios'!$D$149</f>
        <v>14.73</v>
      </c>
      <c r="F165" s="20">
        <f t="shared" ref="F165:F175" si="11">+C165*E165</f>
        <v>29.46</v>
      </c>
    </row>
    <row r="166" spans="1:6">
      <c r="A166" s="2"/>
      <c r="B166" s="52" t="s">
        <v>3</v>
      </c>
      <c r="C166" s="47">
        <v>2</v>
      </c>
      <c r="D166" s="54" t="s">
        <v>58</v>
      </c>
      <c r="E166" s="19">
        <f>'Insumos sanitarios'!$D$150</f>
        <v>8.93</v>
      </c>
      <c r="F166" s="20">
        <f t="shared" si="11"/>
        <v>17.86</v>
      </c>
    </row>
    <row r="167" spans="1:6">
      <c r="A167" s="2"/>
      <c r="B167" s="52" t="s">
        <v>16</v>
      </c>
      <c r="C167" s="47">
        <v>1</v>
      </c>
      <c r="D167" s="54" t="s">
        <v>58</v>
      </c>
      <c r="E167" s="19">
        <f>'Insumos sanitarios'!$D$28</f>
        <v>12.41</v>
      </c>
      <c r="F167" s="20">
        <f t="shared" si="11"/>
        <v>12.41</v>
      </c>
    </row>
    <row r="168" spans="1:6">
      <c r="A168" s="2"/>
      <c r="B168" s="52" t="s">
        <v>17</v>
      </c>
      <c r="C168" s="47">
        <v>1</v>
      </c>
      <c r="D168" s="54" t="s">
        <v>58</v>
      </c>
      <c r="E168" s="19">
        <f>'Insumos sanitarios'!$D$31</f>
        <v>121.875</v>
      </c>
      <c r="F168" s="20">
        <f t="shared" si="11"/>
        <v>121.875</v>
      </c>
    </row>
    <row r="169" spans="1:6">
      <c r="A169" s="2"/>
      <c r="B169" s="52" t="s">
        <v>18</v>
      </c>
      <c r="C169" s="47">
        <v>2</v>
      </c>
      <c r="D169" s="54" t="s">
        <v>58</v>
      </c>
      <c r="E169" s="19">
        <f>'Insumos sanitarios'!$D$158</f>
        <v>50</v>
      </c>
      <c r="F169" s="20">
        <f t="shared" si="11"/>
        <v>100</v>
      </c>
    </row>
    <row r="170" spans="1:6">
      <c r="A170" s="2"/>
      <c r="B170" s="52" t="s">
        <v>5</v>
      </c>
      <c r="C170" s="47">
        <v>2</v>
      </c>
      <c r="D170" s="54" t="s">
        <v>58</v>
      </c>
      <c r="E170" s="19">
        <f>'Insumos sanitarios'!$D$151</f>
        <v>4.75</v>
      </c>
      <c r="F170" s="20">
        <f t="shared" si="11"/>
        <v>9.5</v>
      </c>
    </row>
    <row r="171" spans="1:6">
      <c r="A171" s="2"/>
      <c r="B171" s="52" t="s">
        <v>7</v>
      </c>
      <c r="C171" s="47">
        <v>2</v>
      </c>
      <c r="D171" s="54" t="s">
        <v>58</v>
      </c>
      <c r="E171" s="19">
        <f>'Insumos sanitarios'!$D$153</f>
        <v>143.84</v>
      </c>
      <c r="F171" s="20">
        <f t="shared" si="11"/>
        <v>287.68</v>
      </c>
    </row>
    <row r="172" spans="1:6">
      <c r="A172" s="2"/>
      <c r="B172" s="52" t="s">
        <v>9</v>
      </c>
      <c r="C172" s="47">
        <v>2</v>
      </c>
      <c r="D172" s="54" t="s">
        <v>58</v>
      </c>
      <c r="E172" s="19">
        <f>'Insumos sanitarios'!$D$155</f>
        <v>140</v>
      </c>
      <c r="F172" s="20">
        <f t="shared" si="11"/>
        <v>280</v>
      </c>
    </row>
    <row r="173" spans="1:6">
      <c r="A173" s="2"/>
      <c r="B173" s="52" t="s">
        <v>226</v>
      </c>
      <c r="C173" s="47">
        <v>1</v>
      </c>
      <c r="D173" s="54" t="s">
        <v>58</v>
      </c>
      <c r="E173" s="19">
        <f>'Insumos sanitarios'!$D$79</f>
        <v>1879.1999999999998</v>
      </c>
      <c r="F173" s="20">
        <f t="shared" si="11"/>
        <v>1879.1999999999998</v>
      </c>
    </row>
    <row r="174" spans="1:6">
      <c r="A174" s="2"/>
      <c r="B174" s="52" t="s">
        <v>101</v>
      </c>
      <c r="C174" s="47">
        <v>1</v>
      </c>
      <c r="D174" s="54" t="s">
        <v>58</v>
      </c>
      <c r="E174" s="19">
        <f>'Insumos sanitarios'!D89</f>
        <v>2850</v>
      </c>
      <c r="F174" s="20">
        <f t="shared" si="11"/>
        <v>2850</v>
      </c>
    </row>
    <row r="175" spans="1:6">
      <c r="A175" s="2"/>
      <c r="B175" s="64" t="s">
        <v>698</v>
      </c>
      <c r="C175" s="47">
        <v>1</v>
      </c>
      <c r="D175" s="54" t="s">
        <v>58</v>
      </c>
      <c r="E175" s="20">
        <f>'Mano de Obra Sanitaria'!$D$24</f>
        <v>1416.63</v>
      </c>
      <c r="F175" s="20">
        <f t="shared" si="11"/>
        <v>1416.63</v>
      </c>
    </row>
    <row r="176" spans="1:6" ht="19.2" thickBot="1">
      <c r="A176" s="2"/>
      <c r="B176" s="42"/>
      <c r="C176" s="43"/>
      <c r="D176" s="44"/>
      <c r="E176" s="45" t="s">
        <v>41</v>
      </c>
      <c r="F176" s="46">
        <f>SUM(F165:F175)</f>
        <v>7004.6149999999998</v>
      </c>
    </row>
    <row r="177" spans="1:6" ht="19.8" thickTop="1" thickBot="1">
      <c r="A177" s="2"/>
      <c r="B177" s="31"/>
      <c r="C177" s="47"/>
      <c r="D177" s="54"/>
      <c r="E177" s="24"/>
      <c r="F177" s="25"/>
    </row>
    <row r="178" spans="1:6" ht="19.2" thickBot="1">
      <c r="A178" s="26" t="s">
        <v>687</v>
      </c>
      <c r="B178" s="36" t="s">
        <v>487</v>
      </c>
      <c r="C178" s="37"/>
      <c r="D178" s="37"/>
      <c r="E178" s="38"/>
      <c r="F178" s="39"/>
    </row>
    <row r="179" spans="1:6">
      <c r="A179" s="2"/>
      <c r="B179" s="52" t="s">
        <v>2</v>
      </c>
      <c r="C179" s="47">
        <v>2</v>
      </c>
      <c r="D179" s="54" t="s">
        <v>58</v>
      </c>
      <c r="E179" s="19">
        <f>'Insumos sanitarios'!$D$149</f>
        <v>14.73</v>
      </c>
      <c r="F179" s="20">
        <f t="shared" ref="F179:F189" si="12">+C179*E179</f>
        <v>29.46</v>
      </c>
    </row>
    <row r="180" spans="1:6">
      <c r="A180" s="2"/>
      <c r="B180" s="52" t="s">
        <v>3</v>
      </c>
      <c r="C180" s="47">
        <v>2</v>
      </c>
      <c r="D180" s="54" t="s">
        <v>58</v>
      </c>
      <c r="E180" s="19">
        <f>'Insumos sanitarios'!$D$150</f>
        <v>8.93</v>
      </c>
      <c r="F180" s="20">
        <f t="shared" si="12"/>
        <v>17.86</v>
      </c>
    </row>
    <row r="181" spans="1:6">
      <c r="A181" s="2"/>
      <c r="B181" s="52" t="s">
        <v>16</v>
      </c>
      <c r="C181" s="47">
        <v>1</v>
      </c>
      <c r="D181" s="54" t="s">
        <v>58</v>
      </c>
      <c r="E181" s="19">
        <f>'Insumos sanitarios'!$D$28</f>
        <v>12.41</v>
      </c>
      <c r="F181" s="20">
        <f t="shared" si="12"/>
        <v>12.41</v>
      </c>
    </row>
    <row r="182" spans="1:6">
      <c r="A182" s="2"/>
      <c r="B182" s="52" t="s">
        <v>17</v>
      </c>
      <c r="C182" s="47">
        <v>1</v>
      </c>
      <c r="D182" s="54" t="s">
        <v>58</v>
      </c>
      <c r="E182" s="19">
        <f>'Insumos sanitarios'!$D$31</f>
        <v>121.875</v>
      </c>
      <c r="F182" s="20">
        <f t="shared" si="12"/>
        <v>121.875</v>
      </c>
    </row>
    <row r="183" spans="1:6">
      <c r="A183" s="2"/>
      <c r="B183" s="52" t="s">
        <v>18</v>
      </c>
      <c r="C183" s="47">
        <v>2</v>
      </c>
      <c r="D183" s="54" t="s">
        <v>58</v>
      </c>
      <c r="E183" s="19">
        <f>'Insumos sanitarios'!$D$158</f>
        <v>50</v>
      </c>
      <c r="F183" s="20">
        <f t="shared" si="12"/>
        <v>100</v>
      </c>
    </row>
    <row r="184" spans="1:6">
      <c r="A184" s="2"/>
      <c r="B184" s="52" t="s">
        <v>5</v>
      </c>
      <c r="C184" s="47">
        <v>2</v>
      </c>
      <c r="D184" s="54" t="s">
        <v>58</v>
      </c>
      <c r="E184" s="19">
        <f>'Insumos sanitarios'!$D$151</f>
        <v>4.75</v>
      </c>
      <c r="F184" s="20">
        <f t="shared" si="12"/>
        <v>9.5</v>
      </c>
    </row>
    <row r="185" spans="1:6">
      <c r="A185" s="2"/>
      <c r="B185" s="52" t="s">
        <v>7</v>
      </c>
      <c r="C185" s="47">
        <v>2</v>
      </c>
      <c r="D185" s="54" t="s">
        <v>58</v>
      </c>
      <c r="E185" s="19">
        <f>'Insumos sanitarios'!$D$153</f>
        <v>143.84</v>
      </c>
      <c r="F185" s="20">
        <f t="shared" si="12"/>
        <v>287.68</v>
      </c>
    </row>
    <row r="186" spans="1:6">
      <c r="A186" s="2"/>
      <c r="B186" s="52" t="s">
        <v>9</v>
      </c>
      <c r="C186" s="47">
        <v>2</v>
      </c>
      <c r="D186" s="54" t="s">
        <v>58</v>
      </c>
      <c r="E186" s="19">
        <f>'Insumos sanitarios'!$D$155</f>
        <v>140</v>
      </c>
      <c r="F186" s="20">
        <f t="shared" si="12"/>
        <v>280</v>
      </c>
    </row>
    <row r="187" spans="1:6">
      <c r="A187" s="2"/>
      <c r="B187" s="52" t="s">
        <v>521</v>
      </c>
      <c r="C187" s="47">
        <v>1</v>
      </c>
      <c r="D187" s="54" t="s">
        <v>58</v>
      </c>
      <c r="E187" s="19">
        <f>'Insumos sanitarios'!$D$79</f>
        <v>1879.1999999999998</v>
      </c>
      <c r="F187" s="20">
        <f t="shared" si="12"/>
        <v>1879.1999999999998</v>
      </c>
    </row>
    <row r="188" spans="1:6">
      <c r="A188" s="2"/>
      <c r="B188" s="52" t="s">
        <v>101</v>
      </c>
      <c r="C188" s="47">
        <v>1</v>
      </c>
      <c r="D188" s="54" t="s">
        <v>58</v>
      </c>
      <c r="E188" s="19">
        <f>'Insumos sanitarios'!D92</f>
        <v>10900</v>
      </c>
      <c r="F188" s="20">
        <f t="shared" si="12"/>
        <v>10900</v>
      </c>
    </row>
    <row r="189" spans="1:6">
      <c r="A189" s="2"/>
      <c r="B189" s="64" t="s">
        <v>699</v>
      </c>
      <c r="C189" s="47">
        <v>1</v>
      </c>
      <c r="D189" s="54" t="s">
        <v>58</v>
      </c>
      <c r="E189" s="20">
        <f>'Mano de Obra Sanitaria'!$D$24</f>
        <v>1416.63</v>
      </c>
      <c r="F189" s="20">
        <f t="shared" si="12"/>
        <v>1416.63</v>
      </c>
    </row>
    <row r="190" spans="1:6" ht="19.2" thickBot="1">
      <c r="A190" s="2"/>
      <c r="B190" s="42"/>
      <c r="C190" s="43"/>
      <c r="D190" s="44"/>
      <c r="E190" s="45" t="s">
        <v>41</v>
      </c>
      <c r="F190" s="46">
        <f>SUM(F179:F189)</f>
        <v>15054.615000000002</v>
      </c>
    </row>
    <row r="191" spans="1:6" ht="19.2" thickTop="1">
      <c r="A191" s="2"/>
      <c r="B191" s="31"/>
      <c r="C191" s="47"/>
      <c r="D191" s="54"/>
      <c r="E191" s="24"/>
      <c r="F191" s="25"/>
    </row>
    <row r="192" spans="1:6">
      <c r="A192" s="2"/>
      <c r="B192" s="31"/>
      <c r="C192" s="47"/>
      <c r="D192" s="54"/>
      <c r="E192" s="24"/>
      <c r="F192" s="25"/>
    </row>
    <row r="193" spans="1:6" ht="19.2" thickBot="1">
      <c r="A193" s="2"/>
      <c r="B193" s="31"/>
      <c r="C193" s="47"/>
      <c r="D193" s="54"/>
      <c r="E193" s="24"/>
      <c r="F193" s="25"/>
    </row>
    <row r="194" spans="1:6" ht="19.2" thickBot="1">
      <c r="A194" s="26" t="s">
        <v>688</v>
      </c>
      <c r="B194" s="36" t="s">
        <v>527</v>
      </c>
      <c r="C194" s="37"/>
      <c r="D194" s="37"/>
      <c r="E194" s="38"/>
      <c r="F194" s="39"/>
    </row>
    <row r="195" spans="1:6">
      <c r="A195" s="2"/>
      <c r="B195" s="52" t="s">
        <v>2</v>
      </c>
      <c r="C195" s="47">
        <v>2</v>
      </c>
      <c r="D195" s="54" t="s">
        <v>58</v>
      </c>
      <c r="E195" s="19">
        <f>'Insumos sanitarios'!$D$149</f>
        <v>14.73</v>
      </c>
      <c r="F195" s="20">
        <f t="shared" ref="F195:F205" si="13">+C195*E195</f>
        <v>29.46</v>
      </c>
    </row>
    <row r="196" spans="1:6">
      <c r="A196" s="2"/>
      <c r="B196" s="52" t="s">
        <v>3</v>
      </c>
      <c r="C196" s="47">
        <v>2</v>
      </c>
      <c r="D196" s="54" t="s">
        <v>58</v>
      </c>
      <c r="E196" s="19">
        <f>'Insumos sanitarios'!$D$150</f>
        <v>8.93</v>
      </c>
      <c r="F196" s="20">
        <f t="shared" si="13"/>
        <v>17.86</v>
      </c>
    </row>
    <row r="197" spans="1:6">
      <c r="A197" s="2"/>
      <c r="B197" s="52" t="s">
        <v>16</v>
      </c>
      <c r="C197" s="47">
        <v>1</v>
      </c>
      <c r="D197" s="54" t="s">
        <v>58</v>
      </c>
      <c r="E197" s="19">
        <f>'Insumos sanitarios'!$D$28</f>
        <v>12.41</v>
      </c>
      <c r="F197" s="20">
        <f t="shared" si="13"/>
        <v>12.41</v>
      </c>
    </row>
    <row r="198" spans="1:6">
      <c r="A198" s="2"/>
      <c r="B198" s="52" t="s">
        <v>17</v>
      </c>
      <c r="C198" s="47">
        <v>1</v>
      </c>
      <c r="D198" s="54" t="s">
        <v>58</v>
      </c>
      <c r="E198" s="19">
        <f>'Insumos sanitarios'!$D$31</f>
        <v>121.875</v>
      </c>
      <c r="F198" s="20">
        <f t="shared" si="13"/>
        <v>121.875</v>
      </c>
    </row>
    <row r="199" spans="1:6">
      <c r="A199" s="2"/>
      <c r="B199" s="52" t="s">
        <v>18</v>
      </c>
      <c r="C199" s="47">
        <v>1</v>
      </c>
      <c r="D199" s="54" t="s">
        <v>58</v>
      </c>
      <c r="E199" s="19">
        <f>'Insumos sanitarios'!$D$158</f>
        <v>50</v>
      </c>
      <c r="F199" s="20">
        <f t="shared" si="13"/>
        <v>50</v>
      </c>
    </row>
    <row r="200" spans="1:6">
      <c r="A200" s="2"/>
      <c r="B200" s="52" t="s">
        <v>5</v>
      </c>
      <c r="C200" s="47">
        <v>1</v>
      </c>
      <c r="D200" s="54" t="s">
        <v>58</v>
      </c>
      <c r="E200" s="19">
        <f>'Insumos sanitarios'!$D$151</f>
        <v>4.75</v>
      </c>
      <c r="F200" s="20">
        <f t="shared" si="13"/>
        <v>4.75</v>
      </c>
    </row>
    <row r="201" spans="1:6">
      <c r="A201" s="2"/>
      <c r="B201" s="52" t="s">
        <v>7</v>
      </c>
      <c r="C201" s="47">
        <v>1</v>
      </c>
      <c r="D201" s="54" t="s">
        <v>58</v>
      </c>
      <c r="E201" s="19">
        <f>'Insumos sanitarios'!$D$153</f>
        <v>143.84</v>
      </c>
      <c r="F201" s="20">
        <f t="shared" si="13"/>
        <v>143.84</v>
      </c>
    </row>
    <row r="202" spans="1:6">
      <c r="A202" s="2"/>
      <c r="B202" s="52" t="s">
        <v>9</v>
      </c>
      <c r="C202" s="47">
        <v>1</v>
      </c>
      <c r="D202" s="54" t="s">
        <v>58</v>
      </c>
      <c r="E202" s="19">
        <f>'Insumos sanitarios'!$D$155</f>
        <v>140</v>
      </c>
      <c r="F202" s="20">
        <f t="shared" si="13"/>
        <v>140</v>
      </c>
    </row>
    <row r="203" spans="1:6">
      <c r="A203" s="2"/>
      <c r="B203" s="52" t="s">
        <v>35</v>
      </c>
      <c r="C203" s="47">
        <v>1</v>
      </c>
      <c r="D203" s="54" t="s">
        <v>58</v>
      </c>
      <c r="E203" s="19">
        <f>'Insumos sanitarios'!$D$79</f>
        <v>1879.1999999999998</v>
      </c>
      <c r="F203" s="20">
        <f t="shared" si="13"/>
        <v>1879.1999999999998</v>
      </c>
    </row>
    <row r="204" spans="1:6">
      <c r="A204" s="2"/>
      <c r="B204" s="52" t="s">
        <v>423</v>
      </c>
      <c r="C204" s="47">
        <v>1</v>
      </c>
      <c r="D204" s="54" t="s">
        <v>58</v>
      </c>
      <c r="E204" s="19">
        <f>'Insumos sanitarios'!D90</f>
        <v>3090</v>
      </c>
      <c r="F204" s="20">
        <f t="shared" si="13"/>
        <v>3090</v>
      </c>
    </row>
    <row r="205" spans="1:6" ht="32.4">
      <c r="A205" s="2"/>
      <c r="B205" s="64" t="s">
        <v>116</v>
      </c>
      <c r="C205" s="47">
        <v>1</v>
      </c>
      <c r="D205" s="54" t="s">
        <v>58</v>
      </c>
      <c r="E205" s="20">
        <f>'Mano de Obra Sanitaria'!D25</f>
        <v>1111.3</v>
      </c>
      <c r="F205" s="20">
        <f t="shared" si="13"/>
        <v>1111.3</v>
      </c>
    </row>
    <row r="206" spans="1:6" ht="19.2" thickBot="1">
      <c r="A206" s="2"/>
      <c r="B206" s="42"/>
      <c r="C206" s="43"/>
      <c r="D206" s="44"/>
      <c r="E206" s="45" t="s">
        <v>41</v>
      </c>
      <c r="F206" s="46">
        <f>SUM(F195:F205)</f>
        <v>6600.6950000000006</v>
      </c>
    </row>
    <row r="207" spans="1:6" ht="19.2" thickTop="1">
      <c r="A207" s="2"/>
      <c r="B207" s="31"/>
      <c r="C207" s="47"/>
      <c r="D207" s="54"/>
      <c r="E207" s="24"/>
      <c r="F207" s="25"/>
    </row>
    <row r="208" spans="1:6" ht="19.2" thickBot="1">
      <c r="A208" s="2"/>
      <c r="B208" s="31"/>
      <c r="C208" s="47"/>
      <c r="D208" s="54"/>
      <c r="E208" s="24"/>
      <c r="F208" s="25"/>
    </row>
    <row r="209" spans="1:6" ht="19.2" thickBot="1">
      <c r="A209" s="26" t="s">
        <v>689</v>
      </c>
      <c r="B209" s="36" t="s">
        <v>516</v>
      </c>
      <c r="C209" s="37"/>
      <c r="D209" s="37"/>
      <c r="E209" s="38"/>
      <c r="F209" s="39"/>
    </row>
    <row r="210" spans="1:6">
      <c r="A210" s="2"/>
      <c r="B210" s="40" t="s">
        <v>482</v>
      </c>
      <c r="C210" s="47">
        <v>1</v>
      </c>
      <c r="D210" s="54" t="s">
        <v>58</v>
      </c>
      <c r="E210" s="19">
        <f>'Insumos sanitarios'!D105</f>
        <v>6079.3599999999988</v>
      </c>
      <c r="F210" s="80">
        <f>SUM(E210*C210)</f>
        <v>6079.3599999999988</v>
      </c>
    </row>
    <row r="211" spans="1:6">
      <c r="A211" s="2"/>
      <c r="B211" s="52" t="s">
        <v>33</v>
      </c>
      <c r="C211" s="47">
        <v>1</v>
      </c>
      <c r="D211" s="54" t="s">
        <v>78</v>
      </c>
      <c r="E211" s="19">
        <f>'Mano de Obra Sanitaria'!D21</f>
        <v>750</v>
      </c>
      <c r="F211" s="80">
        <f>SUM(E211*C211)</f>
        <v>750</v>
      </c>
    </row>
    <row r="212" spans="1:6">
      <c r="A212" s="2"/>
      <c r="B212" s="40" t="s">
        <v>34</v>
      </c>
      <c r="C212" s="47">
        <v>1</v>
      </c>
      <c r="D212" s="54" t="s">
        <v>78</v>
      </c>
      <c r="E212" s="19">
        <v>172.5</v>
      </c>
      <c r="F212" s="80">
        <f>SUM(E212*C212)</f>
        <v>172.5</v>
      </c>
    </row>
    <row r="213" spans="1:6" ht="19.2" thickBot="1">
      <c r="A213" s="2"/>
      <c r="B213" s="42"/>
      <c r="C213" s="43"/>
      <c r="D213" s="44"/>
      <c r="E213" s="45" t="s">
        <v>41</v>
      </c>
      <c r="F213" s="46">
        <f>SUM(F209:F212)</f>
        <v>7001.8599999999988</v>
      </c>
    </row>
    <row r="214" spans="1:6" ht="19.8" thickTop="1" thickBot="1">
      <c r="A214" s="2"/>
      <c r="B214" s="69"/>
      <c r="C214" s="70"/>
      <c r="D214" s="63"/>
      <c r="E214" s="48"/>
      <c r="F214" s="49"/>
    </row>
    <row r="215" spans="1:6" ht="19.2" thickBot="1">
      <c r="A215" s="26" t="s">
        <v>690</v>
      </c>
      <c r="B215" s="36" t="s">
        <v>404</v>
      </c>
      <c r="C215" s="37"/>
      <c r="D215" s="37"/>
      <c r="E215" s="38"/>
      <c r="F215" s="39"/>
    </row>
    <row r="216" spans="1:6">
      <c r="A216" s="2"/>
      <c r="B216" s="40" t="s">
        <v>249</v>
      </c>
      <c r="C216" s="47">
        <v>1</v>
      </c>
      <c r="D216" s="54" t="s">
        <v>58</v>
      </c>
      <c r="E216" s="19">
        <f>'Insumos sanitarios'!D85</f>
        <v>350</v>
      </c>
      <c r="F216" s="80">
        <f>SUM(E216*C216)</f>
        <v>350</v>
      </c>
    </row>
    <row r="217" spans="1:6">
      <c r="A217" s="2"/>
      <c r="B217" s="40" t="s">
        <v>405</v>
      </c>
      <c r="C217" s="47">
        <v>1</v>
      </c>
      <c r="D217" s="54" t="s">
        <v>58</v>
      </c>
      <c r="E217" s="19">
        <f>'Insumos sanitarios'!D108</f>
        <v>348</v>
      </c>
      <c r="F217" s="80">
        <f>SUM(E217*C217)</f>
        <v>348</v>
      </c>
    </row>
    <row r="218" spans="1:6">
      <c r="A218" s="2"/>
      <c r="B218" s="40" t="s">
        <v>39</v>
      </c>
      <c r="C218" s="47">
        <v>1</v>
      </c>
      <c r="D218" s="54" t="s">
        <v>78</v>
      </c>
      <c r="E218" s="19">
        <f>'Mano de Obra Sanitaria'!D22</f>
        <v>403.81</v>
      </c>
      <c r="F218" s="80">
        <f>SUM(E218*C218)</f>
        <v>403.81</v>
      </c>
    </row>
    <row r="219" spans="1:6">
      <c r="A219" s="2"/>
      <c r="B219" s="40" t="s">
        <v>34</v>
      </c>
      <c r="C219" s="47">
        <v>1</v>
      </c>
      <c r="D219" s="54" t="s">
        <v>78</v>
      </c>
      <c r="E219" s="19">
        <v>172.5</v>
      </c>
      <c r="F219" s="80">
        <f>SUM(E219*C219)</f>
        <v>172.5</v>
      </c>
    </row>
    <row r="220" spans="1:6" ht="19.2" thickBot="1">
      <c r="A220" s="2"/>
      <c r="B220" s="42"/>
      <c r="C220" s="43"/>
      <c r="D220" s="44"/>
      <c r="E220" s="45" t="s">
        <v>41</v>
      </c>
      <c r="F220" s="46">
        <f>SUM(F215:F219)</f>
        <v>1274.31</v>
      </c>
    </row>
    <row r="221" spans="1:6" ht="19.8" thickTop="1" thickBot="1">
      <c r="B221" s="42"/>
      <c r="C221" s="43"/>
      <c r="D221" s="44"/>
      <c r="E221" s="50"/>
      <c r="F221" s="51"/>
    </row>
    <row r="222" spans="1:6" ht="19.2" thickBot="1">
      <c r="B222" s="149" t="s">
        <v>48</v>
      </c>
      <c r="C222" s="59"/>
      <c r="D222" s="54"/>
      <c r="E222" s="24"/>
      <c r="F222" s="25"/>
    </row>
    <row r="223" spans="1:6" ht="19.2" thickBot="1">
      <c r="B223" s="42"/>
      <c r="C223" s="43"/>
      <c r="D223" s="44"/>
      <c r="E223" s="50"/>
      <c r="F223" s="51"/>
    </row>
    <row r="224" spans="1:6" ht="19.2" thickBot="1">
      <c r="A224" s="26" t="s">
        <v>691</v>
      </c>
      <c r="B224" s="36" t="s">
        <v>119</v>
      </c>
      <c r="C224" s="37"/>
      <c r="D224" s="37"/>
      <c r="E224" s="38"/>
      <c r="F224" s="39"/>
    </row>
    <row r="225" spans="1:6">
      <c r="A225" s="2"/>
      <c r="B225" s="40" t="s">
        <v>120</v>
      </c>
      <c r="C225" s="78">
        <v>2</v>
      </c>
      <c r="D225" s="54" t="s">
        <v>58</v>
      </c>
      <c r="E225" s="19">
        <f>'Insumos sanitarios'!D178</f>
        <v>152</v>
      </c>
      <c r="F225" s="79">
        <f>SUM(E225*C225)</f>
        <v>304</v>
      </c>
    </row>
    <row r="226" spans="1:6">
      <c r="A226" s="2"/>
      <c r="B226" s="40" t="s">
        <v>121</v>
      </c>
      <c r="C226" s="78">
        <v>1</v>
      </c>
      <c r="D226" s="54" t="s">
        <v>55</v>
      </c>
      <c r="E226" s="19">
        <v>500</v>
      </c>
      <c r="F226" s="79">
        <f>SUM(E226*C226)</f>
        <v>500</v>
      </c>
    </row>
    <row r="227" spans="1:6">
      <c r="A227" s="2"/>
      <c r="B227" s="40" t="s">
        <v>122</v>
      </c>
      <c r="C227" s="78">
        <v>1</v>
      </c>
      <c r="D227" s="54" t="s">
        <v>55</v>
      </c>
      <c r="E227" s="19">
        <v>250</v>
      </c>
      <c r="F227" s="79">
        <f>SUM(E227*C227)</f>
        <v>250</v>
      </c>
    </row>
    <row r="228" spans="1:6">
      <c r="A228" s="2"/>
      <c r="B228" s="40" t="s">
        <v>123</v>
      </c>
      <c r="C228" s="78">
        <v>2</v>
      </c>
      <c r="D228" s="54" t="s">
        <v>78</v>
      </c>
      <c r="E228" s="19">
        <f>'Mano de Obra Sanitaria'!D132</f>
        <v>911.04</v>
      </c>
      <c r="F228" s="79">
        <f>SUM(E228*C228)</f>
        <v>1822.08</v>
      </c>
    </row>
    <row r="229" spans="1:6" ht="19.2" thickBot="1">
      <c r="A229" s="2"/>
      <c r="B229" s="42"/>
      <c r="C229" s="60"/>
      <c r="D229" s="44"/>
      <c r="E229" s="45" t="s">
        <v>41</v>
      </c>
      <c r="F229" s="46">
        <f>SUM(F224:F228)</f>
        <v>2876.08</v>
      </c>
    </row>
    <row r="230" spans="1:6" ht="19.8" thickTop="1" thickBot="1">
      <c r="A230" s="2"/>
      <c r="B230" s="69"/>
      <c r="C230" s="62"/>
      <c r="D230" s="63"/>
      <c r="E230" s="48"/>
      <c r="F230" s="49"/>
    </row>
    <row r="231" spans="1:6" ht="19.2" thickBot="1">
      <c r="A231" s="26" t="s">
        <v>713</v>
      </c>
      <c r="B231" s="36" t="s">
        <v>115</v>
      </c>
      <c r="C231" s="37"/>
      <c r="D231" s="37"/>
      <c r="E231" s="38"/>
      <c r="F231" s="39"/>
    </row>
    <row r="232" spans="1:6">
      <c r="A232" s="2"/>
      <c r="B232" s="52" t="s">
        <v>21</v>
      </c>
      <c r="C232" s="47">
        <v>1</v>
      </c>
      <c r="D232" s="54" t="s">
        <v>58</v>
      </c>
      <c r="E232" s="19">
        <f>'Insumos sanitarios'!D32</f>
        <v>87</v>
      </c>
      <c r="F232" s="20">
        <f>+C232*E232</f>
        <v>87</v>
      </c>
    </row>
    <row r="233" spans="1:6">
      <c r="A233" s="2"/>
      <c r="B233" s="52" t="s">
        <v>22</v>
      </c>
      <c r="C233" s="47">
        <v>1</v>
      </c>
      <c r="D233" s="54" t="s">
        <v>58</v>
      </c>
      <c r="E233" s="19">
        <f>'Insumos sanitarios'!D163</f>
        <v>45</v>
      </c>
      <c r="F233" s="20">
        <f>+C233*E233</f>
        <v>45</v>
      </c>
    </row>
    <row r="234" spans="1:6">
      <c r="A234" s="2"/>
      <c r="B234" s="52" t="s">
        <v>23</v>
      </c>
      <c r="C234" s="47">
        <v>1</v>
      </c>
      <c r="D234" s="54" t="s">
        <v>78</v>
      </c>
      <c r="E234" s="20">
        <f>'Mano de Obra Sanitaria'!D36</f>
        <v>707.49</v>
      </c>
      <c r="F234" s="20">
        <f>+C234*E234</f>
        <v>707.49</v>
      </c>
    </row>
    <row r="235" spans="1:6" ht="19.2" thickBot="1">
      <c r="A235" s="2"/>
      <c r="B235" s="42"/>
      <c r="C235" s="43"/>
      <c r="D235" s="44"/>
      <c r="E235" s="45" t="s">
        <v>41</v>
      </c>
      <c r="F235" s="46">
        <f>SUM(F232:F234)</f>
        <v>839.49</v>
      </c>
    </row>
    <row r="236" spans="1:6" ht="19.8" thickTop="1" thickBot="1">
      <c r="A236" s="2"/>
      <c r="C236" s="47"/>
      <c r="D236" s="54"/>
      <c r="E236" s="24"/>
      <c r="F236" s="25"/>
    </row>
    <row r="237" spans="1:6" ht="19.2" thickBot="1">
      <c r="A237" s="26" t="s">
        <v>714</v>
      </c>
      <c r="B237" s="36" t="s">
        <v>341</v>
      </c>
      <c r="C237" s="37"/>
      <c r="D237" s="37"/>
      <c r="E237" s="38"/>
      <c r="F237" s="39"/>
    </row>
    <row r="238" spans="1:6">
      <c r="A238" s="2"/>
      <c r="B238" s="52" t="s">
        <v>307</v>
      </c>
      <c r="C238" s="47">
        <v>1</v>
      </c>
      <c r="D238" s="54" t="s">
        <v>58</v>
      </c>
      <c r="E238" s="19">
        <f>'Insumos sanitarios'!D33</f>
        <v>100.05</v>
      </c>
      <c r="F238" s="20">
        <f>+C238*E238</f>
        <v>100.05</v>
      </c>
    </row>
    <row r="239" spans="1:6">
      <c r="A239" s="2"/>
      <c r="B239" s="52" t="s">
        <v>308</v>
      </c>
      <c r="C239" s="47">
        <v>1</v>
      </c>
      <c r="D239" s="54" t="s">
        <v>58</v>
      </c>
      <c r="E239" s="19">
        <f>'Insumos sanitarios'!D164</f>
        <v>51.749999999999993</v>
      </c>
      <c r="F239" s="20">
        <f>+C239*E239</f>
        <v>51.749999999999993</v>
      </c>
    </row>
    <row r="240" spans="1:6">
      <c r="A240" s="2"/>
      <c r="B240" s="52" t="s">
        <v>342</v>
      </c>
      <c r="C240" s="47">
        <v>1</v>
      </c>
      <c r="D240" s="54" t="s">
        <v>78</v>
      </c>
      <c r="E240" s="20">
        <f>'Mano de Obra Sanitaria'!D40</f>
        <v>911.04</v>
      </c>
      <c r="F240" s="20">
        <f>+C240*E240</f>
        <v>911.04</v>
      </c>
    </row>
    <row r="241" spans="1:6" ht="19.2" thickBot="1">
      <c r="A241" s="2"/>
      <c r="B241" s="42"/>
      <c r="C241" s="43"/>
      <c r="D241" s="44"/>
      <c r="E241" s="45" t="s">
        <v>41</v>
      </c>
      <c r="F241" s="46">
        <f>SUM(F238:F240)</f>
        <v>1062.8399999999999</v>
      </c>
    </row>
    <row r="242" spans="1:6" ht="19.2" thickTop="1">
      <c r="A242" s="2"/>
      <c r="C242" s="47"/>
      <c r="D242" s="54"/>
      <c r="E242" s="24"/>
      <c r="F242" s="25"/>
    </row>
    <row r="243" spans="1:6" ht="19.2" thickBot="1">
      <c r="A243" s="2"/>
      <c r="C243" s="47"/>
      <c r="D243" s="54"/>
      <c r="E243" s="24"/>
      <c r="F243" s="25"/>
    </row>
    <row r="244" spans="1:6" ht="19.2" thickBot="1">
      <c r="A244" s="26" t="s">
        <v>715</v>
      </c>
      <c r="B244" s="36" t="s">
        <v>276</v>
      </c>
      <c r="C244" s="37"/>
      <c r="D244" s="37"/>
      <c r="E244" s="38"/>
      <c r="F244" s="39"/>
    </row>
    <row r="245" spans="1:6">
      <c r="A245" s="2"/>
      <c r="B245" s="52" t="s">
        <v>343</v>
      </c>
      <c r="C245" s="47">
        <v>1</v>
      </c>
      <c r="D245" s="54" t="s">
        <v>78</v>
      </c>
      <c r="E245" s="20">
        <f>'Mano de Obra Sanitaria'!D41</f>
        <v>1001.46</v>
      </c>
      <c r="F245" s="20">
        <f>+C245*E245</f>
        <v>1001.46</v>
      </c>
    </row>
    <row r="246" spans="1:6" ht="28.5" customHeight="1">
      <c r="A246" s="2"/>
      <c r="B246" s="64" t="s">
        <v>297</v>
      </c>
      <c r="C246" s="47">
        <v>1</v>
      </c>
      <c r="D246" s="54" t="s">
        <v>78</v>
      </c>
      <c r="E246" s="20">
        <f>'Insumos sanitarios'!D173</f>
        <v>2383.7999999999997</v>
      </c>
      <c r="F246" s="20">
        <f>+C246*E246</f>
        <v>2383.7999999999997</v>
      </c>
    </row>
    <row r="247" spans="1:6">
      <c r="A247" s="2"/>
      <c r="B247" s="64" t="s">
        <v>298</v>
      </c>
      <c r="C247" s="47">
        <v>1</v>
      </c>
      <c r="D247" s="54" t="s">
        <v>78</v>
      </c>
      <c r="E247" s="20">
        <f>'Insumos sanitarios'!D174</f>
        <v>3794.3599999999997</v>
      </c>
      <c r="F247" s="20">
        <f>+C247*E247</f>
        <v>3794.3599999999997</v>
      </c>
    </row>
    <row r="248" spans="1:6" ht="19.2" thickBot="1">
      <c r="A248" s="2"/>
      <c r="B248" s="42"/>
      <c r="C248" s="43"/>
      <c r="D248" s="44"/>
      <c r="E248" s="45" t="s">
        <v>41</v>
      </c>
      <c r="F248" s="46">
        <f>SUM(F245:F247)</f>
        <v>7179.619999999999</v>
      </c>
    </row>
    <row r="249" spans="1:6" ht="19.2" thickTop="1">
      <c r="A249" s="2"/>
      <c r="C249" s="47"/>
      <c r="D249" s="54"/>
    </row>
    <row r="250" spans="1:6" ht="19.2" thickBot="1">
      <c r="A250" s="2"/>
      <c r="C250" s="47"/>
      <c r="D250" s="54"/>
    </row>
    <row r="251" spans="1:6" ht="19.2" thickBot="1">
      <c r="A251" s="26" t="s">
        <v>716</v>
      </c>
      <c r="B251" s="36" t="s">
        <v>701</v>
      </c>
      <c r="C251" s="37"/>
      <c r="D251" s="37"/>
      <c r="E251" s="38"/>
      <c r="F251" s="39"/>
    </row>
    <row r="252" spans="1:6">
      <c r="A252" s="2"/>
      <c r="B252" s="40" t="s">
        <v>70</v>
      </c>
      <c r="C252" s="47">
        <v>1.252</v>
      </c>
      <c r="D252" s="54" t="s">
        <v>66</v>
      </c>
      <c r="E252" s="19" t="e">
        <f>#REF!</f>
        <v>#REF!</v>
      </c>
      <c r="F252" s="80" t="e">
        <f t="shared" ref="F252:F266" si="14">SUM(E252*C252)</f>
        <v>#REF!</v>
      </c>
    </row>
    <row r="253" spans="1:6">
      <c r="A253" s="2"/>
      <c r="B253" s="40" t="s">
        <v>71</v>
      </c>
      <c r="C253" s="47">
        <v>7.1000000000000008E-2</v>
      </c>
      <c r="D253" s="54" t="s">
        <v>56</v>
      </c>
      <c r="E253" s="19" t="e">
        <f>#REF!</f>
        <v>#REF!</v>
      </c>
      <c r="F253" s="80" t="e">
        <f t="shared" si="14"/>
        <v>#REF!</v>
      </c>
    </row>
    <row r="254" spans="1:6">
      <c r="A254" s="2"/>
      <c r="B254" s="40" t="s">
        <v>74</v>
      </c>
      <c r="C254" s="47">
        <v>2.6000000000000002E-2</v>
      </c>
      <c r="D254" s="54" t="s">
        <v>56</v>
      </c>
      <c r="E254" s="19" t="e">
        <f>#REF!</f>
        <v>#REF!</v>
      </c>
      <c r="F254" s="80" t="e">
        <f t="shared" si="14"/>
        <v>#REF!</v>
      </c>
    </row>
    <row r="255" spans="1:6">
      <c r="A255" s="2"/>
      <c r="B255" s="40" t="s">
        <v>24</v>
      </c>
      <c r="C255" s="47">
        <v>4.7E-2</v>
      </c>
      <c r="D255" s="54" t="s">
        <v>56</v>
      </c>
      <c r="E255" s="19" t="e">
        <f>#REF!</f>
        <v>#REF!</v>
      </c>
      <c r="F255" s="80" t="e">
        <f t="shared" si="14"/>
        <v>#REF!</v>
      </c>
    </row>
    <row r="256" spans="1:6">
      <c r="A256" s="2"/>
      <c r="B256" s="40" t="s">
        <v>72</v>
      </c>
      <c r="C256" s="47">
        <v>7.4</v>
      </c>
      <c r="D256" s="54" t="s">
        <v>67</v>
      </c>
      <c r="E256" s="19" t="e">
        <f>#REF!</f>
        <v>#REF!</v>
      </c>
      <c r="F256" s="80" t="e">
        <f t="shared" si="14"/>
        <v>#REF!</v>
      </c>
    </row>
    <row r="257" spans="1:6">
      <c r="A257" s="2"/>
      <c r="B257" s="40" t="s">
        <v>75</v>
      </c>
      <c r="C257" s="47">
        <v>0.17799999999999999</v>
      </c>
      <c r="D257" s="54" t="s">
        <v>66</v>
      </c>
      <c r="E257" s="19" t="e">
        <f>#REF!</f>
        <v>#REF!</v>
      </c>
      <c r="F257" s="80" t="e">
        <f t="shared" si="14"/>
        <v>#REF!</v>
      </c>
    </row>
    <row r="258" spans="1:6">
      <c r="A258" s="2"/>
      <c r="B258" s="40" t="s">
        <v>0</v>
      </c>
      <c r="C258" s="47">
        <v>15</v>
      </c>
      <c r="D258" s="54" t="s">
        <v>58</v>
      </c>
      <c r="E258" s="41" t="e">
        <f>#REF!</f>
        <v>#REF!</v>
      </c>
      <c r="F258" s="80" t="e">
        <f t="shared" si="14"/>
        <v>#REF!</v>
      </c>
    </row>
    <row r="259" spans="1:6">
      <c r="A259" s="2"/>
      <c r="B259" s="40" t="s">
        <v>13</v>
      </c>
      <c r="C259" s="47">
        <v>0.98099999999999998</v>
      </c>
      <c r="D259" s="54" t="s">
        <v>68</v>
      </c>
      <c r="E259" s="41" t="e">
        <f>#REF!</f>
        <v>#REF!</v>
      </c>
      <c r="F259" s="80" t="e">
        <f t="shared" si="14"/>
        <v>#REF!</v>
      </c>
    </row>
    <row r="260" spans="1:6">
      <c r="A260" s="2"/>
      <c r="B260" s="40" t="s">
        <v>25</v>
      </c>
      <c r="C260" s="47">
        <v>0.16</v>
      </c>
      <c r="D260" s="54" t="s">
        <v>76</v>
      </c>
      <c r="E260" s="19" t="e">
        <f>#REF!</f>
        <v>#REF!</v>
      </c>
      <c r="F260" s="80" t="e">
        <f t="shared" si="14"/>
        <v>#REF!</v>
      </c>
    </row>
    <row r="261" spans="1:6">
      <c r="A261" s="2"/>
      <c r="B261" s="40" t="s">
        <v>45</v>
      </c>
      <c r="C261" s="47">
        <v>4.7E-2</v>
      </c>
      <c r="D261" s="54" t="s">
        <v>65</v>
      </c>
      <c r="E261" s="19" t="e">
        <f>#REF!</f>
        <v>#REF!</v>
      </c>
      <c r="F261" s="80" t="e">
        <f t="shared" si="14"/>
        <v>#REF!</v>
      </c>
    </row>
    <row r="262" spans="1:6">
      <c r="A262" s="2"/>
      <c r="B262" s="40" t="s">
        <v>77</v>
      </c>
      <c r="C262" s="47">
        <v>9.4E-2</v>
      </c>
      <c r="D262" s="54" t="s">
        <v>76</v>
      </c>
      <c r="E262" s="55" t="e">
        <f>#REF!</f>
        <v>#REF!</v>
      </c>
      <c r="F262" s="80" t="e">
        <f t="shared" si="14"/>
        <v>#REF!</v>
      </c>
    </row>
    <row r="263" spans="1:6">
      <c r="A263" s="2"/>
      <c r="B263" s="40" t="s">
        <v>26</v>
      </c>
      <c r="C263" s="47">
        <v>1.2E-2</v>
      </c>
      <c r="D263" s="54" t="s">
        <v>69</v>
      </c>
      <c r="E263" s="19" t="e">
        <f>#REF!</f>
        <v>#REF!</v>
      </c>
      <c r="F263" s="80" t="e">
        <f t="shared" si="14"/>
        <v>#REF!</v>
      </c>
    </row>
    <row r="264" spans="1:6">
      <c r="A264" s="2"/>
      <c r="B264" s="40" t="s">
        <v>117</v>
      </c>
      <c r="C264" s="47">
        <v>1</v>
      </c>
      <c r="D264" s="54" t="s">
        <v>55</v>
      </c>
      <c r="E264" s="19">
        <v>500</v>
      </c>
      <c r="F264" s="80">
        <f t="shared" si="14"/>
        <v>500</v>
      </c>
    </row>
    <row r="265" spans="1:6" ht="32.4">
      <c r="A265" s="2"/>
      <c r="B265" s="73" t="s">
        <v>27</v>
      </c>
      <c r="C265" s="47">
        <v>1</v>
      </c>
      <c r="D265" s="54" t="s">
        <v>78</v>
      </c>
      <c r="E265" s="19">
        <f>'Mano de Obra Sanitaria'!$D$182</f>
        <v>1111.3</v>
      </c>
      <c r="F265" s="80">
        <f t="shared" si="14"/>
        <v>1111.3</v>
      </c>
    </row>
    <row r="266" spans="1:6" ht="32.4">
      <c r="A266" s="2"/>
      <c r="B266" s="73" t="s">
        <v>118</v>
      </c>
      <c r="C266" s="47">
        <v>1</v>
      </c>
      <c r="D266" s="54" t="s">
        <v>58</v>
      </c>
      <c r="E266" s="19">
        <f>'Mano de Obra Sanitaria'!$D$179</f>
        <v>1500</v>
      </c>
      <c r="F266" s="80">
        <f t="shared" si="14"/>
        <v>1500</v>
      </c>
    </row>
    <row r="267" spans="1:6" ht="19.2" thickBot="1">
      <c r="A267" s="2"/>
      <c r="B267" s="42"/>
      <c r="C267" s="43"/>
      <c r="D267" s="44"/>
      <c r="E267" s="45" t="s">
        <v>41</v>
      </c>
      <c r="F267" s="46" t="e">
        <f>SUM(F252:F266)</f>
        <v>#REF!</v>
      </c>
    </row>
    <row r="268" spans="1:6" ht="19.2" thickTop="1">
      <c r="A268" s="2"/>
      <c r="B268" s="69"/>
      <c r="C268" s="70"/>
      <c r="D268" s="63"/>
      <c r="E268" s="48"/>
      <c r="F268" s="49"/>
    </row>
    <row r="269" spans="1:6" ht="19.2" thickBot="1">
      <c r="A269" s="2"/>
      <c r="B269" s="31"/>
      <c r="C269" s="47"/>
      <c r="D269" s="54"/>
      <c r="E269" s="24"/>
      <c r="F269" s="25"/>
    </row>
    <row r="270" spans="1:6" ht="19.2" thickBot="1">
      <c r="A270" s="26" t="s">
        <v>717</v>
      </c>
      <c r="B270" s="36" t="s">
        <v>702</v>
      </c>
      <c r="C270" s="37"/>
      <c r="D270" s="37"/>
      <c r="E270" s="38"/>
      <c r="F270" s="39"/>
    </row>
    <row r="271" spans="1:6">
      <c r="A271" s="2"/>
      <c r="B271" s="40" t="s">
        <v>70</v>
      </c>
      <c r="C271" s="47">
        <v>2.278</v>
      </c>
      <c r="D271" s="54" t="s">
        <v>66</v>
      </c>
      <c r="E271" s="19" t="e">
        <f>#REF!</f>
        <v>#REF!</v>
      </c>
      <c r="F271" s="80" t="e">
        <f t="shared" ref="F271:F285" si="15">SUM(E271*C271)</f>
        <v>#REF!</v>
      </c>
    </row>
    <row r="272" spans="1:6">
      <c r="A272" s="2"/>
      <c r="B272" s="40" t="s">
        <v>71</v>
      </c>
      <c r="C272" s="47">
        <v>0.126</v>
      </c>
      <c r="D272" s="54" t="s">
        <v>56</v>
      </c>
      <c r="E272" s="19" t="e">
        <f>#REF!</f>
        <v>#REF!</v>
      </c>
      <c r="F272" s="80" t="e">
        <f t="shared" si="15"/>
        <v>#REF!</v>
      </c>
    </row>
    <row r="273" spans="1:6">
      <c r="A273" s="2"/>
      <c r="B273" s="40" t="s">
        <v>74</v>
      </c>
      <c r="C273" s="47">
        <v>5.1000000000000004E-2</v>
      </c>
      <c r="D273" s="54" t="s">
        <v>56</v>
      </c>
      <c r="E273" s="19" t="e">
        <f>#REF!</f>
        <v>#REF!</v>
      </c>
      <c r="F273" s="80" t="e">
        <f t="shared" si="15"/>
        <v>#REF!</v>
      </c>
    </row>
    <row r="274" spans="1:6">
      <c r="A274" s="2"/>
      <c r="B274" s="40" t="s">
        <v>24</v>
      </c>
      <c r="C274" s="47">
        <v>8.4000000000000005E-2</v>
      </c>
      <c r="D274" s="54" t="s">
        <v>56</v>
      </c>
      <c r="E274" s="19" t="e">
        <f>#REF!</f>
        <v>#REF!</v>
      </c>
      <c r="F274" s="80" t="e">
        <f t="shared" si="15"/>
        <v>#REF!</v>
      </c>
    </row>
    <row r="275" spans="1:6">
      <c r="A275" s="2"/>
      <c r="B275" s="40" t="s">
        <v>72</v>
      </c>
      <c r="C275" s="47">
        <v>13.318</v>
      </c>
      <c r="D275" s="54" t="s">
        <v>67</v>
      </c>
      <c r="E275" s="19" t="e">
        <f>#REF!</f>
        <v>#REF!</v>
      </c>
      <c r="F275" s="80" t="e">
        <f t="shared" si="15"/>
        <v>#REF!</v>
      </c>
    </row>
    <row r="276" spans="1:6">
      <c r="A276" s="2"/>
      <c r="B276" s="40" t="s">
        <v>75</v>
      </c>
      <c r="C276" s="47">
        <v>0.35299999999999998</v>
      </c>
      <c r="D276" s="54" t="s">
        <v>66</v>
      </c>
      <c r="E276" s="19" t="e">
        <f>#REF!</f>
        <v>#REF!</v>
      </c>
      <c r="F276" s="80" t="e">
        <f t="shared" si="15"/>
        <v>#REF!</v>
      </c>
    </row>
    <row r="277" spans="1:6" ht="27.75" customHeight="1">
      <c r="A277" s="2"/>
      <c r="B277" s="40" t="s">
        <v>703</v>
      </c>
      <c r="C277" s="47">
        <v>28</v>
      </c>
      <c r="D277" s="54" t="s">
        <v>58</v>
      </c>
      <c r="E277" s="41" t="e">
        <f>#REF!</f>
        <v>#REF!</v>
      </c>
      <c r="F277" s="80" t="e">
        <f t="shared" si="15"/>
        <v>#REF!</v>
      </c>
    </row>
    <row r="278" spans="1:6">
      <c r="A278" s="2"/>
      <c r="B278" s="40" t="s">
        <v>13</v>
      </c>
      <c r="C278" s="47">
        <v>1.327</v>
      </c>
      <c r="D278" s="54" t="s">
        <v>68</v>
      </c>
      <c r="E278" s="41" t="e">
        <f>#REF!</f>
        <v>#REF!</v>
      </c>
      <c r="F278" s="80" t="e">
        <f t="shared" si="15"/>
        <v>#REF!</v>
      </c>
    </row>
    <row r="279" spans="1:6">
      <c r="A279" s="2"/>
      <c r="B279" s="40" t="s">
        <v>25</v>
      </c>
      <c r="C279" s="47">
        <v>0.21</v>
      </c>
      <c r="D279" s="54" t="s">
        <v>76</v>
      </c>
      <c r="E279" s="19" t="e">
        <f>#REF!</f>
        <v>#REF!</v>
      </c>
      <c r="F279" s="80" t="e">
        <f t="shared" si="15"/>
        <v>#REF!</v>
      </c>
    </row>
    <row r="280" spans="1:6">
      <c r="A280" s="2"/>
      <c r="B280" s="40" t="s">
        <v>45</v>
      </c>
      <c r="C280" s="47">
        <v>7.5999999999999998E-2</v>
      </c>
      <c r="D280" s="54" t="s">
        <v>65</v>
      </c>
      <c r="E280" s="19" t="e">
        <f>#REF!</f>
        <v>#REF!</v>
      </c>
      <c r="F280" s="80" t="e">
        <f t="shared" si="15"/>
        <v>#REF!</v>
      </c>
    </row>
    <row r="281" spans="1:6">
      <c r="A281" s="2"/>
      <c r="B281" s="40" t="s">
        <v>77</v>
      </c>
      <c r="C281" s="47">
        <f>C280*2</f>
        <v>0.152</v>
      </c>
      <c r="D281" s="54" t="s">
        <v>76</v>
      </c>
      <c r="E281" s="55" t="e">
        <f>#REF!</f>
        <v>#REF!</v>
      </c>
      <c r="F281" s="80" t="e">
        <f t="shared" si="15"/>
        <v>#REF!</v>
      </c>
    </row>
    <row r="282" spans="1:6">
      <c r="A282" s="2"/>
      <c r="B282" s="40" t="s">
        <v>26</v>
      </c>
      <c r="C282" s="47">
        <v>2.1999999999999999E-2</v>
      </c>
      <c r="D282" s="54" t="s">
        <v>69</v>
      </c>
      <c r="E282" s="19" t="e">
        <f>#REF!</f>
        <v>#REF!</v>
      </c>
      <c r="F282" s="80" t="e">
        <f t="shared" si="15"/>
        <v>#REF!</v>
      </c>
    </row>
    <row r="283" spans="1:6">
      <c r="A283" s="2"/>
      <c r="B283" s="40" t="s">
        <v>117</v>
      </c>
      <c r="C283" s="47">
        <v>1</v>
      </c>
      <c r="D283" s="54" t="s">
        <v>55</v>
      </c>
      <c r="E283" s="19">
        <v>500</v>
      </c>
      <c r="F283" s="80">
        <f t="shared" si="15"/>
        <v>500</v>
      </c>
    </row>
    <row r="284" spans="1:6">
      <c r="A284" s="2"/>
      <c r="B284" s="73" t="s">
        <v>704</v>
      </c>
      <c r="C284" s="47">
        <v>1</v>
      </c>
      <c r="D284" s="54" t="s">
        <v>78</v>
      </c>
      <c r="E284" s="19">
        <f>'Mano de Obra Sanitaria'!D180</f>
        <v>1822.07</v>
      </c>
      <c r="F284" s="80">
        <f t="shared" si="15"/>
        <v>1822.07</v>
      </c>
    </row>
    <row r="285" spans="1:6">
      <c r="A285" s="2"/>
      <c r="B285" s="73" t="s">
        <v>705</v>
      </c>
      <c r="C285" s="47">
        <v>1</v>
      </c>
      <c r="D285" s="54" t="s">
        <v>58</v>
      </c>
      <c r="E285" s="19">
        <f>'Mano de Obra Sanitaria'!D178</f>
        <v>1500</v>
      </c>
      <c r="F285" s="80">
        <f t="shared" si="15"/>
        <v>1500</v>
      </c>
    </row>
    <row r="286" spans="1:6" ht="19.2" thickBot="1">
      <c r="A286" s="2"/>
      <c r="B286" s="42"/>
      <c r="C286" s="60"/>
      <c r="D286" s="44"/>
      <c r="E286" s="45" t="s">
        <v>41</v>
      </c>
      <c r="F286" s="46" t="e">
        <f>SUM(F271:F285)</f>
        <v>#REF!</v>
      </c>
    </row>
    <row r="287" spans="1:6" ht="19.8" thickTop="1" thickBot="1">
      <c r="A287" s="2"/>
      <c r="B287" s="42"/>
      <c r="C287" s="43"/>
      <c r="D287" s="44"/>
      <c r="E287" s="50"/>
      <c r="F287" s="51"/>
    </row>
    <row r="288" spans="1:6" ht="19.2" thickBot="1">
      <c r="A288" s="26" t="s">
        <v>718</v>
      </c>
      <c r="B288" s="36" t="s">
        <v>708</v>
      </c>
      <c r="C288" s="37"/>
      <c r="D288" s="37"/>
      <c r="E288" s="38"/>
      <c r="F288" s="39"/>
    </row>
    <row r="289" spans="1:6">
      <c r="A289" s="2"/>
      <c r="B289" s="73" t="s">
        <v>252</v>
      </c>
      <c r="C289" s="47">
        <f>1.2*0.6*0.15</f>
        <v>0.108</v>
      </c>
      <c r="D289" s="54" t="s">
        <v>56</v>
      </c>
      <c r="E289" s="19" t="e">
        <f>#REF!</f>
        <v>#REF!</v>
      </c>
      <c r="F289" s="80" t="e">
        <f t="shared" ref="F289:F295" si="16">ROUND(C289*E289,2)</f>
        <v>#REF!</v>
      </c>
    </row>
    <row r="290" spans="1:6">
      <c r="A290" s="2"/>
      <c r="B290" s="73" t="s">
        <v>253</v>
      </c>
      <c r="C290" s="47">
        <f>0.2*1.2</f>
        <v>0.24</v>
      </c>
      <c r="D290" s="54" t="s">
        <v>57</v>
      </c>
      <c r="E290" s="19" t="e">
        <f>#REF!</f>
        <v>#REF!</v>
      </c>
      <c r="F290" s="80" t="e">
        <f t="shared" si="16"/>
        <v>#REF!</v>
      </c>
    </row>
    <row r="291" spans="1:6">
      <c r="A291" s="2"/>
      <c r="B291" s="73" t="s">
        <v>254</v>
      </c>
      <c r="C291" s="47">
        <f>0.6*1.2+0.2*1.2*3</f>
        <v>1.44</v>
      </c>
      <c r="D291" s="54" t="s">
        <v>57</v>
      </c>
      <c r="E291" s="19" t="e">
        <f>#REF!</f>
        <v>#REF!</v>
      </c>
      <c r="F291" s="80" t="e">
        <f t="shared" si="16"/>
        <v>#REF!</v>
      </c>
    </row>
    <row r="292" spans="1:6">
      <c r="A292" s="2"/>
      <c r="B292" s="73" t="s">
        <v>255</v>
      </c>
      <c r="C292" s="47">
        <v>1</v>
      </c>
      <c r="D292" s="54" t="s">
        <v>54</v>
      </c>
      <c r="E292" s="19">
        <v>2000</v>
      </c>
      <c r="F292" s="80">
        <f t="shared" si="16"/>
        <v>2000</v>
      </c>
    </row>
    <row r="293" spans="1:6">
      <c r="A293" s="2"/>
      <c r="B293" s="73" t="s">
        <v>490</v>
      </c>
      <c r="C293" s="47">
        <v>1</v>
      </c>
      <c r="D293" s="54" t="s">
        <v>54</v>
      </c>
      <c r="E293" s="19">
        <f>F311</f>
        <v>1313.04</v>
      </c>
      <c r="F293" s="80">
        <f t="shared" si="16"/>
        <v>1313.04</v>
      </c>
    </row>
    <row r="294" spans="1:6">
      <c r="A294" s="2"/>
      <c r="B294" s="73" t="s">
        <v>706</v>
      </c>
      <c r="C294" s="47">
        <v>1</v>
      </c>
      <c r="D294" s="54" t="s">
        <v>54</v>
      </c>
      <c r="E294" s="19">
        <f>F235</f>
        <v>839.49</v>
      </c>
      <c r="F294" s="80">
        <f t="shared" si="16"/>
        <v>839.49</v>
      </c>
    </row>
    <row r="295" spans="1:6">
      <c r="A295" s="2"/>
      <c r="B295" s="73" t="s">
        <v>256</v>
      </c>
      <c r="C295" s="47">
        <v>1</v>
      </c>
      <c r="D295" s="54" t="s">
        <v>55</v>
      </c>
      <c r="E295" s="19">
        <v>500</v>
      </c>
      <c r="F295" s="80">
        <f t="shared" si="16"/>
        <v>500</v>
      </c>
    </row>
    <row r="296" spans="1:6" ht="19.2" thickBot="1">
      <c r="A296" s="2"/>
      <c r="B296" s="42"/>
      <c r="C296" s="60"/>
      <c r="D296" s="44"/>
      <c r="E296" s="45" t="s">
        <v>41</v>
      </c>
      <c r="F296" s="46" t="e">
        <f>SUM(F289:F295)</f>
        <v>#REF!</v>
      </c>
    </row>
    <row r="297" spans="1:6" ht="19.8" thickTop="1" thickBot="1">
      <c r="A297" s="2"/>
      <c r="B297" s="42"/>
      <c r="C297" s="43"/>
      <c r="D297" s="44"/>
      <c r="E297" s="50"/>
      <c r="F297" s="51"/>
    </row>
    <row r="298" spans="1:6" ht="19.2" thickBot="1">
      <c r="A298" s="26" t="s">
        <v>719</v>
      </c>
      <c r="B298" s="36" t="s">
        <v>707</v>
      </c>
      <c r="C298" s="37"/>
      <c r="D298" s="37"/>
      <c r="E298" s="38"/>
      <c r="F298" s="39"/>
    </row>
    <row r="299" spans="1:6">
      <c r="A299" s="2"/>
      <c r="B299" s="73" t="s">
        <v>252</v>
      </c>
      <c r="C299" s="47">
        <f>1.2*0.6*0.15</f>
        <v>0.108</v>
      </c>
      <c r="D299" s="54" t="s">
        <v>56</v>
      </c>
      <c r="E299" s="19" t="e">
        <f>#REF!</f>
        <v>#REF!</v>
      </c>
      <c r="F299" s="80" t="e">
        <f>ROUND(C299*E299,2)</f>
        <v>#REF!</v>
      </c>
    </row>
    <row r="300" spans="1:6">
      <c r="A300" s="2"/>
      <c r="B300" s="73" t="s">
        <v>253</v>
      </c>
      <c r="C300" s="47">
        <f>0.2*1.2</f>
        <v>0.24</v>
      </c>
      <c r="D300" s="54" t="s">
        <v>57</v>
      </c>
      <c r="E300" s="19" t="e">
        <f>#REF!</f>
        <v>#REF!</v>
      </c>
      <c r="F300" s="80" t="e">
        <f>ROUND(C300*E300,2)</f>
        <v>#REF!</v>
      </c>
    </row>
    <row r="301" spans="1:6">
      <c r="A301" s="2"/>
      <c r="B301" s="73" t="s">
        <v>254</v>
      </c>
      <c r="C301" s="47">
        <f>0.6*1.2+0.2*1.2*3</f>
        <v>1.44</v>
      </c>
      <c r="D301" s="54" t="s">
        <v>57</v>
      </c>
      <c r="E301" s="19" t="e">
        <f>#REF!</f>
        <v>#REF!</v>
      </c>
      <c r="F301" s="80" t="e">
        <f>ROUND(C301*E301,2)</f>
        <v>#REF!</v>
      </c>
    </row>
    <row r="302" spans="1:6">
      <c r="A302" s="2"/>
      <c r="B302" s="73" t="s">
        <v>255</v>
      </c>
      <c r="C302" s="47">
        <v>1</v>
      </c>
      <c r="D302" s="54" t="s">
        <v>54</v>
      </c>
      <c r="E302" s="19">
        <v>2000</v>
      </c>
      <c r="F302" s="80">
        <f>ROUND(C302*E302,2)</f>
        <v>2000</v>
      </c>
    </row>
    <row r="303" spans="1:6">
      <c r="A303" s="2"/>
      <c r="B303" s="73" t="s">
        <v>256</v>
      </c>
      <c r="C303" s="47">
        <v>1</v>
      </c>
      <c r="D303" s="54" t="s">
        <v>55</v>
      </c>
      <c r="E303" s="19">
        <v>500</v>
      </c>
      <c r="F303" s="80">
        <f>ROUND(C303*E303,2)</f>
        <v>500</v>
      </c>
    </row>
    <row r="304" spans="1:6" ht="19.2" thickBot="1">
      <c r="A304" s="2"/>
      <c r="B304" s="42"/>
      <c r="C304" s="60"/>
      <c r="D304" s="44"/>
      <c r="E304" s="45" t="s">
        <v>41</v>
      </c>
      <c r="F304" s="46" t="e">
        <f>SUM(F299:F303)</f>
        <v>#REF!</v>
      </c>
    </row>
    <row r="305" spans="1:6" ht="19.2" thickTop="1">
      <c r="A305" s="2"/>
    </row>
    <row r="306" spans="1:6" ht="19.2" thickBot="1">
      <c r="A306" s="2"/>
    </row>
    <row r="307" spans="1:6" ht="19.2" thickBot="1">
      <c r="A307" s="26" t="s">
        <v>720</v>
      </c>
      <c r="B307" s="36" t="s">
        <v>344</v>
      </c>
      <c r="C307" s="37"/>
      <c r="D307" s="37"/>
      <c r="E307" s="38"/>
      <c r="F307" s="39"/>
    </row>
    <row r="308" spans="1:6">
      <c r="A308" s="2"/>
      <c r="B308" s="40" t="s">
        <v>257</v>
      </c>
      <c r="C308" s="47">
        <v>1</v>
      </c>
      <c r="D308" s="54" t="s">
        <v>58</v>
      </c>
      <c r="E308" s="19">
        <f>'Insumos sanitarios'!D178</f>
        <v>152</v>
      </c>
      <c r="F308" s="80">
        <f>SUM(E308*C308)</f>
        <v>152</v>
      </c>
    </row>
    <row r="309" spans="1:6">
      <c r="A309" s="2"/>
      <c r="B309" s="40" t="s">
        <v>121</v>
      </c>
      <c r="C309" s="47">
        <v>1</v>
      </c>
      <c r="D309" s="54" t="s">
        <v>55</v>
      </c>
      <c r="E309" s="19">
        <v>250</v>
      </c>
      <c r="F309" s="80">
        <f>SUM(E309*C309)</f>
        <v>250</v>
      </c>
    </row>
    <row r="310" spans="1:6">
      <c r="A310" s="2"/>
      <c r="B310" s="40" t="s">
        <v>123</v>
      </c>
      <c r="C310" s="47">
        <v>1</v>
      </c>
      <c r="D310" s="54" t="s">
        <v>78</v>
      </c>
      <c r="E310" s="19">
        <f>'Mano de Obra Sanitaria'!D132</f>
        <v>911.04</v>
      </c>
      <c r="F310" s="80">
        <f>SUM(E310*C310)</f>
        <v>911.04</v>
      </c>
    </row>
    <row r="311" spans="1:6" ht="19.2" thickBot="1">
      <c r="A311" s="2"/>
      <c r="B311" s="42"/>
      <c r="C311" s="43"/>
      <c r="D311" s="44"/>
      <c r="E311" s="45" t="s">
        <v>41</v>
      </c>
      <c r="F311" s="46">
        <f>SUM(F307:F310)</f>
        <v>1313.04</v>
      </c>
    </row>
    <row r="312" spans="1:6" ht="19.8" thickTop="1" thickBot="1">
      <c r="A312" s="2"/>
    </row>
    <row r="313" spans="1:6" ht="19.2" thickBot="1">
      <c r="A313" s="26" t="s">
        <v>721</v>
      </c>
      <c r="B313" s="36" t="s">
        <v>258</v>
      </c>
      <c r="C313" s="37"/>
      <c r="D313" s="37"/>
      <c r="E313" s="38"/>
      <c r="F313" s="39"/>
    </row>
    <row r="314" spans="1:6">
      <c r="A314" s="2"/>
      <c r="B314" s="40" t="s">
        <v>51</v>
      </c>
      <c r="C314" s="47">
        <v>0.5</v>
      </c>
      <c r="D314" s="54" t="s">
        <v>58</v>
      </c>
      <c r="E314" s="19">
        <f>'Insumos sanitarios'!D10</f>
        <v>1403.5391999999999</v>
      </c>
      <c r="F314" s="80">
        <f>SUM(E314*C314)</f>
        <v>701.76959999999997</v>
      </c>
    </row>
    <row r="315" spans="1:6">
      <c r="A315" s="2"/>
      <c r="B315" s="40" t="s">
        <v>19</v>
      </c>
      <c r="C315" s="47">
        <v>1</v>
      </c>
      <c r="D315" s="54" t="s">
        <v>58</v>
      </c>
      <c r="E315" s="19">
        <f>'Insumos sanitarios'!D36</f>
        <v>62.65</v>
      </c>
      <c r="F315" s="80">
        <f>SUM(E315*C315)</f>
        <v>62.65</v>
      </c>
    </row>
    <row r="316" spans="1:6">
      <c r="A316" s="2"/>
      <c r="B316" s="40" t="s">
        <v>52</v>
      </c>
      <c r="C316" s="47">
        <v>1</v>
      </c>
      <c r="D316" s="54" t="s">
        <v>58</v>
      </c>
      <c r="E316" s="19">
        <f>'Insumos sanitarios'!D40</f>
        <v>105.56</v>
      </c>
      <c r="F316" s="80">
        <f>SUM(E316*C316)</f>
        <v>105.56</v>
      </c>
    </row>
    <row r="317" spans="1:6">
      <c r="A317" s="2"/>
      <c r="B317" s="40" t="s">
        <v>20</v>
      </c>
      <c r="C317" s="47">
        <v>0.01</v>
      </c>
      <c r="D317" s="54" t="s">
        <v>67</v>
      </c>
      <c r="E317" s="19">
        <f>'Insumos sanitarios'!$D$148</f>
        <v>1799</v>
      </c>
      <c r="F317" s="80">
        <f>SUM(E317*C317)</f>
        <v>17.990000000000002</v>
      </c>
    </row>
    <row r="318" spans="1:6">
      <c r="A318" s="2"/>
      <c r="B318" s="40" t="s">
        <v>259</v>
      </c>
      <c r="C318" s="47">
        <v>1</v>
      </c>
      <c r="D318" s="54" t="s">
        <v>78</v>
      </c>
      <c r="E318" s="20">
        <f>'Mano de Obra Sanitaria'!D79</f>
        <v>1012.82</v>
      </c>
      <c r="F318" s="80">
        <f>SUM(E318*C318)</f>
        <v>1012.82</v>
      </c>
    </row>
    <row r="319" spans="1:6" ht="19.2" thickBot="1">
      <c r="A319" s="2"/>
      <c r="B319" s="42"/>
      <c r="C319" s="43"/>
      <c r="D319" s="44"/>
      <c r="E319" s="45" t="s">
        <v>41</v>
      </c>
      <c r="F319" s="46">
        <f>SUM(F314:F318)</f>
        <v>1900.7896000000001</v>
      </c>
    </row>
    <row r="320" spans="1:6" ht="19.8" thickTop="1" thickBot="1">
      <c r="A320" s="2"/>
      <c r="B320" s="31"/>
      <c r="C320" s="47"/>
      <c r="D320" s="54"/>
      <c r="E320" s="24"/>
      <c r="F320" s="80"/>
    </row>
    <row r="321" spans="1:6" ht="19.2" thickBot="1">
      <c r="A321" s="26" t="s">
        <v>722</v>
      </c>
      <c r="B321" s="36" t="s">
        <v>260</v>
      </c>
      <c r="C321" s="37"/>
      <c r="D321" s="37"/>
      <c r="E321" s="38"/>
      <c r="F321" s="39"/>
    </row>
    <row r="322" spans="1:6">
      <c r="A322" s="2"/>
      <c r="B322" s="40" t="s">
        <v>80</v>
      </c>
      <c r="C322" s="47">
        <v>0.5</v>
      </c>
      <c r="D322" s="54" t="s">
        <v>58</v>
      </c>
      <c r="E322" s="19">
        <f>'Insumos sanitarios'!$D$9</f>
        <v>862.74047999999993</v>
      </c>
      <c r="F322" s="80">
        <f>SUM(E322*C322)</f>
        <v>431.37023999999997</v>
      </c>
    </row>
    <row r="323" spans="1:6">
      <c r="A323" s="2"/>
      <c r="B323" s="40" t="s">
        <v>28</v>
      </c>
      <c r="C323" s="47">
        <v>1</v>
      </c>
      <c r="D323" s="54" t="s">
        <v>58</v>
      </c>
      <c r="E323" s="19">
        <f>'Insumos sanitarios'!$D$37</f>
        <v>45.24</v>
      </c>
      <c r="F323" s="80">
        <f>SUM(E323*C323)</f>
        <v>45.24</v>
      </c>
    </row>
    <row r="324" spans="1:6">
      <c r="A324" s="2"/>
      <c r="B324" s="40" t="s">
        <v>128</v>
      </c>
      <c r="C324" s="47">
        <v>1</v>
      </c>
      <c r="D324" s="54" t="s">
        <v>58</v>
      </c>
      <c r="E324" s="19">
        <f>'Insumos sanitarios'!D41</f>
        <v>61.48</v>
      </c>
      <c r="F324" s="80">
        <f>SUM(E324*C324)</f>
        <v>61.48</v>
      </c>
    </row>
    <row r="325" spans="1:6">
      <c r="A325" s="2"/>
      <c r="B325" s="40" t="s">
        <v>20</v>
      </c>
      <c r="C325" s="47">
        <v>0.01</v>
      </c>
      <c r="D325" s="54" t="s">
        <v>67</v>
      </c>
      <c r="E325" s="19">
        <f>'Insumos sanitarios'!$D$148</f>
        <v>1799</v>
      </c>
      <c r="F325" s="80">
        <f>SUM(E325*C325)</f>
        <v>17.990000000000002</v>
      </c>
    </row>
    <row r="326" spans="1:6">
      <c r="A326" s="2"/>
      <c r="B326" s="40" t="s">
        <v>259</v>
      </c>
      <c r="C326" s="47">
        <v>1</v>
      </c>
      <c r="D326" s="54" t="s">
        <v>78</v>
      </c>
      <c r="E326" s="20">
        <f>'Mano de Obra Sanitaria'!D78</f>
        <v>809.27</v>
      </c>
      <c r="F326" s="80">
        <f>SUM(E326*C326)</f>
        <v>809.27</v>
      </c>
    </row>
    <row r="327" spans="1:6" ht="19.2" thickBot="1">
      <c r="A327" s="2"/>
      <c r="B327" s="42"/>
      <c r="C327" s="43"/>
      <c r="D327" s="44"/>
      <c r="E327" s="45" t="s">
        <v>41</v>
      </c>
      <c r="F327" s="46">
        <f>SUM(F320:F326)</f>
        <v>1365.35024</v>
      </c>
    </row>
    <row r="328" spans="1:6" ht="19.2" thickTop="1">
      <c r="A328" s="2"/>
      <c r="B328" s="31"/>
      <c r="C328" s="47"/>
      <c r="D328" s="54"/>
      <c r="E328" s="24"/>
      <c r="F328" s="80"/>
    </row>
    <row r="329" spans="1:6" ht="19.2" thickBot="1">
      <c r="A329" s="2"/>
      <c r="B329" s="31"/>
      <c r="C329" s="47"/>
      <c r="D329" s="54"/>
      <c r="E329" s="24"/>
      <c r="F329" s="80"/>
    </row>
    <row r="330" spans="1:6" ht="19.2" thickBot="1">
      <c r="A330" s="26" t="s">
        <v>723</v>
      </c>
      <c r="B330" s="36" t="s">
        <v>345</v>
      </c>
      <c r="C330" s="37"/>
      <c r="D330" s="37"/>
      <c r="E330" s="38"/>
      <c r="F330" s="39"/>
    </row>
    <row r="331" spans="1:6">
      <c r="A331" s="2"/>
      <c r="B331" s="40" t="s">
        <v>79</v>
      </c>
      <c r="C331" s="47">
        <v>0.5</v>
      </c>
      <c r="D331" s="54" t="s">
        <v>58</v>
      </c>
      <c r="E331" s="19">
        <f>'Insumos sanitarios'!$D$11</f>
        <v>400.70911999999998</v>
      </c>
      <c r="F331" s="80">
        <f>SUM(E331*C331)</f>
        <v>200.35455999999999</v>
      </c>
    </row>
    <row r="332" spans="1:6">
      <c r="A332" s="2"/>
      <c r="B332" s="40" t="s">
        <v>222</v>
      </c>
      <c r="C332" s="47">
        <v>1</v>
      </c>
      <c r="D332" s="54" t="s">
        <v>58</v>
      </c>
      <c r="E332" s="19">
        <f>'Insumos sanitarios'!$D$38</f>
        <v>14.84</v>
      </c>
      <c r="F332" s="80">
        <f>SUM(E332*C332)</f>
        <v>14.84</v>
      </c>
    </row>
    <row r="333" spans="1:6">
      <c r="A333" s="2"/>
      <c r="B333" s="40" t="s">
        <v>346</v>
      </c>
      <c r="C333" s="47">
        <v>1</v>
      </c>
      <c r="D333" s="54" t="s">
        <v>58</v>
      </c>
      <c r="E333" s="19">
        <f>'Insumos sanitarios'!D42</f>
        <v>22.62</v>
      </c>
      <c r="F333" s="80">
        <f>SUM(E333*C333)</f>
        <v>22.62</v>
      </c>
    </row>
    <row r="334" spans="1:6">
      <c r="A334" s="2"/>
      <c r="B334" s="40" t="s">
        <v>20</v>
      </c>
      <c r="C334" s="47">
        <v>0.01</v>
      </c>
      <c r="D334" s="54" t="s">
        <v>67</v>
      </c>
      <c r="E334" s="19">
        <f>'Insumos sanitarios'!$D$148</f>
        <v>1799</v>
      </c>
      <c r="F334" s="80">
        <f>SUM(E334*C334)</f>
        <v>17.990000000000002</v>
      </c>
    </row>
    <row r="335" spans="1:6">
      <c r="A335" s="2"/>
      <c r="B335" s="40" t="s">
        <v>259</v>
      </c>
      <c r="C335" s="47">
        <v>1</v>
      </c>
      <c r="D335" s="54" t="s">
        <v>78</v>
      </c>
      <c r="E335" s="20">
        <f>'Mano de Obra Sanitaria'!D74</f>
        <v>707.49</v>
      </c>
      <c r="F335" s="80">
        <f>SUM(E335*C335)</f>
        <v>707.49</v>
      </c>
    </row>
    <row r="336" spans="1:6" ht="19.2" thickBot="1">
      <c r="A336" s="2"/>
      <c r="B336" s="42"/>
      <c r="C336" s="43"/>
      <c r="D336" s="44"/>
      <c r="E336" s="45" t="s">
        <v>41</v>
      </c>
      <c r="F336" s="46">
        <f>SUM(F329:F335)</f>
        <v>963.29456000000005</v>
      </c>
    </row>
    <row r="337" spans="1:6" ht="19.2" thickTop="1">
      <c r="A337" s="2"/>
      <c r="B337" s="31"/>
      <c r="C337" s="47"/>
      <c r="D337" s="54"/>
      <c r="E337" s="24"/>
      <c r="F337" s="80"/>
    </row>
    <row r="338" spans="1:6" ht="19.2" thickBot="1">
      <c r="A338" s="2"/>
      <c r="B338" s="31"/>
      <c r="C338" s="47"/>
      <c r="D338" s="54"/>
      <c r="E338" s="24"/>
      <c r="F338" s="80"/>
    </row>
    <row r="339" spans="1:6" ht="19.2" thickBot="1">
      <c r="A339" s="26" t="s">
        <v>724</v>
      </c>
      <c r="B339" s="36" t="s">
        <v>347</v>
      </c>
      <c r="C339" s="37"/>
      <c r="D339" s="37"/>
      <c r="E339" s="38"/>
      <c r="F339" s="39"/>
    </row>
    <row r="340" spans="1:6">
      <c r="A340" s="2"/>
      <c r="B340" s="40" t="s">
        <v>81</v>
      </c>
      <c r="C340" s="47">
        <v>0.5</v>
      </c>
      <c r="D340" s="54" t="s">
        <v>58</v>
      </c>
      <c r="E340" s="19">
        <f>'Insumos sanitarios'!D8</f>
        <v>3602.6815999999999</v>
      </c>
      <c r="F340" s="80">
        <f>SUM(E340*C340)</f>
        <v>1801.3407999999999</v>
      </c>
    </row>
    <row r="341" spans="1:6">
      <c r="A341" s="2"/>
      <c r="B341" s="40" t="s">
        <v>300</v>
      </c>
      <c r="C341" s="47">
        <v>1</v>
      </c>
      <c r="D341" s="54" t="s">
        <v>58</v>
      </c>
      <c r="E341" s="19">
        <f>'Insumos sanitarios'!D35</f>
        <v>268</v>
      </c>
      <c r="F341" s="80">
        <f>SUM(E341*C341)</f>
        <v>268</v>
      </c>
    </row>
    <row r="342" spans="1:6">
      <c r="A342" s="2"/>
      <c r="B342" s="40" t="s">
        <v>348</v>
      </c>
      <c r="C342" s="47">
        <v>1</v>
      </c>
      <c r="D342" s="54" t="s">
        <v>58</v>
      </c>
      <c r="E342" s="19">
        <f>'Insumos sanitarios'!D52</f>
        <v>426</v>
      </c>
      <c r="F342" s="80">
        <f>SUM(E342*C342)</f>
        <v>426</v>
      </c>
    </row>
    <row r="343" spans="1:6">
      <c r="A343" s="2"/>
      <c r="B343" s="40" t="s">
        <v>20</v>
      </c>
      <c r="C343" s="47">
        <v>0.01</v>
      </c>
      <c r="D343" s="54" t="s">
        <v>67</v>
      </c>
      <c r="E343" s="19">
        <f>'Insumos sanitarios'!$D$148</f>
        <v>1799</v>
      </c>
      <c r="F343" s="80">
        <f>SUM(E343*C343)</f>
        <v>17.990000000000002</v>
      </c>
    </row>
    <row r="344" spans="1:6">
      <c r="A344" s="2"/>
      <c r="B344" s="40" t="s">
        <v>259</v>
      </c>
      <c r="C344" s="47">
        <v>1</v>
      </c>
      <c r="D344" s="54" t="s">
        <v>78</v>
      </c>
      <c r="E344" s="20">
        <f>E318*1.1</f>
        <v>1114.1020000000001</v>
      </c>
      <c r="F344" s="80">
        <f>SUM(E344*C344)</f>
        <v>1114.1020000000001</v>
      </c>
    </row>
    <row r="345" spans="1:6" ht="19.2" thickBot="1">
      <c r="A345" s="2"/>
      <c r="B345" s="42"/>
      <c r="C345" s="43"/>
      <c r="D345" s="44"/>
      <c r="E345" s="45" t="s">
        <v>41</v>
      </c>
      <c r="F345" s="46">
        <f>SUM(F340:F344)</f>
        <v>3627.4327999999996</v>
      </c>
    </row>
    <row r="346" spans="1:6" ht="19.8" thickTop="1" thickBot="1">
      <c r="A346" s="2"/>
      <c r="B346" s="31"/>
      <c r="C346" s="47"/>
      <c r="D346" s="54"/>
      <c r="E346" s="24"/>
      <c r="F346" s="25"/>
    </row>
    <row r="347" spans="1:6" ht="19.2" thickBot="1">
      <c r="A347" s="26" t="s">
        <v>725</v>
      </c>
      <c r="B347" s="36" t="s">
        <v>349</v>
      </c>
      <c r="C347" s="37"/>
      <c r="D347" s="37"/>
      <c r="E347" s="38"/>
      <c r="F347" s="39"/>
    </row>
    <row r="348" spans="1:6">
      <c r="A348" s="2"/>
      <c r="B348" s="40" t="s">
        <v>218</v>
      </c>
      <c r="C348" s="47">
        <v>0.5</v>
      </c>
      <c r="D348" s="54" t="s">
        <v>58</v>
      </c>
      <c r="E348" s="19">
        <f>'Insumos sanitarios'!D7</f>
        <v>6081.4745600000006</v>
      </c>
      <c r="F348" s="80">
        <f>SUM(E348*C348)</f>
        <v>3040.7372800000003</v>
      </c>
    </row>
    <row r="349" spans="1:6">
      <c r="A349" s="2"/>
      <c r="B349" s="40" t="s">
        <v>303</v>
      </c>
      <c r="C349" s="47">
        <v>1</v>
      </c>
      <c r="D349" s="54" t="s">
        <v>58</v>
      </c>
      <c r="E349" s="19">
        <f>'Insumos sanitarios'!D34</f>
        <v>321.59999999999997</v>
      </c>
      <c r="F349" s="80">
        <f>SUM(E349*C349)</f>
        <v>321.59999999999997</v>
      </c>
    </row>
    <row r="350" spans="1:6">
      <c r="A350" s="2"/>
      <c r="B350" s="40" t="s">
        <v>350</v>
      </c>
      <c r="C350" s="47">
        <v>1</v>
      </c>
      <c r="D350" s="54" t="s">
        <v>58</v>
      </c>
      <c r="E350" s="19">
        <f>'Insumos sanitarios'!D53</f>
        <v>511.2</v>
      </c>
      <c r="F350" s="80">
        <f>SUM(E350*C350)</f>
        <v>511.2</v>
      </c>
    </row>
    <row r="351" spans="1:6">
      <c r="A351" s="2"/>
      <c r="B351" s="40" t="s">
        <v>20</v>
      </c>
      <c r="C351" s="47">
        <v>0.01</v>
      </c>
      <c r="D351" s="54" t="s">
        <v>67</v>
      </c>
      <c r="E351" s="19">
        <f>'Insumos sanitarios'!$D$148</f>
        <v>1799</v>
      </c>
      <c r="F351" s="80">
        <f>SUM(E351*C351)</f>
        <v>17.990000000000002</v>
      </c>
    </row>
    <row r="352" spans="1:6">
      <c r="A352" s="2"/>
      <c r="B352" s="40" t="s">
        <v>259</v>
      </c>
      <c r="C352" s="47">
        <v>1</v>
      </c>
      <c r="D352" s="54" t="s">
        <v>78</v>
      </c>
      <c r="E352" s="20">
        <f>E344*1.1</f>
        <v>1225.5122000000001</v>
      </c>
      <c r="F352" s="80">
        <f>SUM(E352*C352)</f>
        <v>1225.5122000000001</v>
      </c>
    </row>
    <row r="353" spans="1:6" ht="19.2" thickBot="1">
      <c r="A353" s="2"/>
      <c r="B353" s="42"/>
      <c r="C353" s="43"/>
      <c r="D353" s="44"/>
      <c r="E353" s="45" t="s">
        <v>41</v>
      </c>
      <c r="F353" s="46">
        <f>SUM(F348:F352)</f>
        <v>5117.0394799999995</v>
      </c>
    </row>
    <row r="354" spans="1:6" ht="19.2" thickTop="1">
      <c r="A354" s="2"/>
      <c r="B354" s="31"/>
      <c r="C354" s="47"/>
      <c r="D354" s="54"/>
      <c r="E354" s="24"/>
      <c r="F354" s="25"/>
    </row>
    <row r="355" spans="1:6" ht="19.2" thickBot="1">
      <c r="A355" s="2"/>
      <c r="B355" s="31"/>
      <c r="C355" s="47"/>
      <c r="D355" s="54"/>
      <c r="E355" s="24"/>
      <c r="F355" s="25"/>
    </row>
    <row r="356" spans="1:6" ht="19.2" thickBot="1">
      <c r="A356" s="26" t="s">
        <v>726</v>
      </c>
      <c r="B356" s="36" t="s">
        <v>129</v>
      </c>
      <c r="C356" s="37"/>
      <c r="D356" s="37"/>
      <c r="E356" s="38"/>
      <c r="F356" s="39"/>
    </row>
    <row r="357" spans="1:6">
      <c r="A357" s="2"/>
      <c r="B357" s="40" t="s">
        <v>80</v>
      </c>
      <c r="C357" s="47">
        <v>0.5</v>
      </c>
      <c r="D357" s="54" t="s">
        <v>58</v>
      </c>
      <c r="E357" s="19">
        <f>'Insumos sanitarios'!$D$9</f>
        <v>862.74047999999993</v>
      </c>
      <c r="F357" s="80">
        <f>SUM(E357*C357)</f>
        <v>431.37023999999997</v>
      </c>
    </row>
    <row r="358" spans="1:6">
      <c r="A358" s="2"/>
      <c r="B358" s="40" t="s">
        <v>28</v>
      </c>
      <c r="C358" s="47">
        <v>1</v>
      </c>
      <c r="D358" s="54" t="s">
        <v>58</v>
      </c>
      <c r="E358" s="19">
        <f>'Insumos sanitarios'!$D$37</f>
        <v>45.24</v>
      </c>
      <c r="F358" s="80">
        <f>SUM(E358*C358)</f>
        <v>45.24</v>
      </c>
    </row>
    <row r="359" spans="1:6">
      <c r="A359" s="2"/>
      <c r="B359" s="40" t="s">
        <v>20</v>
      </c>
      <c r="C359" s="47">
        <v>3.6000000000000003E-3</v>
      </c>
      <c r="D359" s="54" t="s">
        <v>67</v>
      </c>
      <c r="E359" s="19">
        <f>'Insumos sanitarios'!$D$148</f>
        <v>1799</v>
      </c>
      <c r="F359" s="80">
        <f>SUM(E359*C359)</f>
        <v>6.4764000000000008</v>
      </c>
    </row>
    <row r="360" spans="1:6">
      <c r="A360" s="2"/>
      <c r="B360" s="40" t="s">
        <v>134</v>
      </c>
      <c r="C360" s="47">
        <v>1</v>
      </c>
      <c r="D360" s="54" t="s">
        <v>78</v>
      </c>
      <c r="E360" s="19">
        <f>'Mano de Obra Sanitaria'!D66</f>
        <v>809.27</v>
      </c>
      <c r="F360" s="80">
        <f>SUM(E360*C360)</f>
        <v>809.27</v>
      </c>
    </row>
    <row r="361" spans="1:6" ht="19.2" thickBot="1">
      <c r="A361" s="2"/>
      <c r="B361" s="42"/>
      <c r="C361" s="43"/>
      <c r="D361" s="44"/>
      <c r="E361" s="45" t="s">
        <v>41</v>
      </c>
      <c r="F361" s="46">
        <f>SUM(F357:F360)</f>
        <v>1292.35664</v>
      </c>
    </row>
    <row r="362" spans="1:6" ht="19.2" thickTop="1">
      <c r="A362" s="2"/>
      <c r="B362" s="31"/>
      <c r="C362" s="47"/>
      <c r="D362" s="54"/>
      <c r="E362" s="24"/>
      <c r="F362" s="25"/>
    </row>
    <row r="363" spans="1:6" ht="19.2" thickBot="1">
      <c r="A363" s="2"/>
      <c r="B363" s="31"/>
      <c r="C363" s="47"/>
      <c r="D363" s="54"/>
      <c r="E363" s="24"/>
      <c r="F363" s="25"/>
    </row>
    <row r="364" spans="1:6" ht="19.2" thickBot="1">
      <c r="A364" s="26" t="s">
        <v>727</v>
      </c>
      <c r="B364" s="36" t="s">
        <v>441</v>
      </c>
      <c r="C364" s="37"/>
      <c r="D364" s="37"/>
      <c r="E364" s="38"/>
      <c r="F364" s="39"/>
    </row>
    <row r="365" spans="1:6">
      <c r="A365" s="2"/>
      <c r="B365" s="40" t="s">
        <v>79</v>
      </c>
      <c r="C365" s="47">
        <v>0.5</v>
      </c>
      <c r="D365" s="54" t="s">
        <v>58</v>
      </c>
      <c r="E365" s="19">
        <f>'Insumos sanitarios'!$D$11</f>
        <v>400.70911999999998</v>
      </c>
      <c r="F365" s="80">
        <f>SUM(E365*C365)</f>
        <v>200.35455999999999</v>
      </c>
    </row>
    <row r="366" spans="1:6">
      <c r="A366" s="2"/>
      <c r="B366" s="40" t="s">
        <v>222</v>
      </c>
      <c r="C366" s="47">
        <v>1</v>
      </c>
      <c r="D366" s="54" t="s">
        <v>58</v>
      </c>
      <c r="E366" s="19">
        <f>'Insumos sanitarios'!$D$38</f>
        <v>14.84</v>
      </c>
      <c r="F366" s="80">
        <f>SUM(E366*C366)</f>
        <v>14.84</v>
      </c>
    </row>
    <row r="367" spans="1:6">
      <c r="A367" s="2"/>
      <c r="B367" s="40" t="s">
        <v>20</v>
      </c>
      <c r="C367" s="47">
        <v>3.6000000000000003E-3</v>
      </c>
      <c r="D367" s="54" t="s">
        <v>67</v>
      </c>
      <c r="E367" s="19">
        <f>'Insumos sanitarios'!$D$148</f>
        <v>1799</v>
      </c>
      <c r="F367" s="80">
        <f>SUM(E367*C367)</f>
        <v>6.4764000000000008</v>
      </c>
    </row>
    <row r="368" spans="1:6">
      <c r="A368" s="2"/>
      <c r="B368" s="40" t="s">
        <v>442</v>
      </c>
      <c r="C368" s="47">
        <v>1</v>
      </c>
      <c r="D368" s="54" t="s">
        <v>78</v>
      </c>
      <c r="E368" s="19">
        <f>'Mano de Obra Sanitaria'!D65</f>
        <v>707.49</v>
      </c>
      <c r="F368" s="80">
        <f>SUM(E368*C368)</f>
        <v>707.49</v>
      </c>
    </row>
    <row r="369" spans="1:6" ht="19.2" thickBot="1">
      <c r="A369" s="2"/>
      <c r="B369" s="42"/>
      <c r="C369" s="43"/>
      <c r="D369" s="44"/>
      <c r="E369" s="45" t="s">
        <v>41</v>
      </c>
      <c r="F369" s="46">
        <f>SUM(F365:F368)</f>
        <v>929.16096000000005</v>
      </c>
    </row>
    <row r="370" spans="1:6" ht="19.8" thickTop="1" thickBot="1">
      <c r="A370" s="2"/>
      <c r="B370" s="42"/>
      <c r="C370" s="43"/>
      <c r="D370" s="44"/>
      <c r="E370" s="50"/>
      <c r="F370" s="51"/>
    </row>
    <row r="371" spans="1:6" ht="19.2" thickBot="1">
      <c r="A371" s="26" t="s">
        <v>728</v>
      </c>
      <c r="B371" s="36" t="s">
        <v>351</v>
      </c>
      <c r="C371" s="37"/>
      <c r="D371" s="37"/>
      <c r="E371" s="38"/>
      <c r="F371" s="39"/>
    </row>
    <row r="372" spans="1:6">
      <c r="A372" s="2"/>
      <c r="B372" s="40" t="s">
        <v>261</v>
      </c>
      <c r="C372" s="47">
        <v>0.5</v>
      </c>
      <c r="D372" s="54" t="s">
        <v>58</v>
      </c>
      <c r="E372" s="19">
        <f>'Insumos sanitarios'!D69</f>
        <v>3928</v>
      </c>
      <c r="F372" s="80">
        <f>SUM(E372*C372)</f>
        <v>1964</v>
      </c>
    </row>
    <row r="373" spans="1:6">
      <c r="A373" s="2"/>
      <c r="B373" s="40" t="s">
        <v>262</v>
      </c>
      <c r="C373" s="47">
        <v>1</v>
      </c>
      <c r="D373" s="54" t="s">
        <v>58</v>
      </c>
      <c r="E373" s="19">
        <f>'Insumos sanitarios'!D73</f>
        <v>300</v>
      </c>
      <c r="F373" s="80">
        <f>SUM(E373*C373)</f>
        <v>300</v>
      </c>
    </row>
    <row r="374" spans="1:6">
      <c r="A374" s="2"/>
      <c r="B374" s="40" t="s">
        <v>352</v>
      </c>
      <c r="C374" s="47">
        <v>1</v>
      </c>
      <c r="D374" s="54" t="s">
        <v>78</v>
      </c>
      <c r="E374" s="19">
        <f>'Mano de Obra Sanitaria'!D75</f>
        <v>809.27</v>
      </c>
      <c r="F374" s="80">
        <f>SUM(E374*C374)</f>
        <v>809.27</v>
      </c>
    </row>
    <row r="375" spans="1:6" ht="19.2" thickBot="1">
      <c r="A375" s="2"/>
      <c r="B375" s="42"/>
      <c r="C375" s="43"/>
      <c r="D375" s="44"/>
      <c r="E375" s="45" t="s">
        <v>41</v>
      </c>
      <c r="F375" s="46">
        <f>SUM(F372:F374)</f>
        <v>3073.27</v>
      </c>
    </row>
    <row r="376" spans="1:6" ht="19.8" thickTop="1" thickBot="1">
      <c r="A376" s="2"/>
      <c r="B376" s="42"/>
      <c r="C376" s="43"/>
      <c r="D376" s="44"/>
      <c r="E376" s="50"/>
      <c r="F376" s="51"/>
    </row>
    <row r="377" spans="1:6" ht="19.2" thickBot="1">
      <c r="A377" s="26" t="s">
        <v>729</v>
      </c>
      <c r="B377" s="36" t="s">
        <v>353</v>
      </c>
      <c r="C377" s="37"/>
      <c r="D377" s="37"/>
      <c r="E377" s="38"/>
      <c r="F377" s="39"/>
    </row>
    <row r="378" spans="1:6">
      <c r="A378" s="2"/>
      <c r="B378" s="40" t="s">
        <v>354</v>
      </c>
      <c r="C378" s="47">
        <v>0.5</v>
      </c>
      <c r="D378" s="54" t="s">
        <v>58</v>
      </c>
      <c r="E378" s="19">
        <f>'Insumos sanitarios'!D70</f>
        <v>5707</v>
      </c>
      <c r="F378" s="80">
        <f>SUM(E378*C378)</f>
        <v>2853.5</v>
      </c>
    </row>
    <row r="379" spans="1:6">
      <c r="A379" s="2"/>
      <c r="B379" s="40" t="s">
        <v>355</v>
      </c>
      <c r="C379" s="47">
        <v>1</v>
      </c>
      <c r="D379" s="54" t="s">
        <v>58</v>
      </c>
      <c r="E379" s="19">
        <f>'Insumos sanitarios'!D74</f>
        <v>448</v>
      </c>
      <c r="F379" s="80">
        <f>SUM(E379*C379)</f>
        <v>448</v>
      </c>
    </row>
    <row r="380" spans="1:6">
      <c r="A380" s="2"/>
      <c r="B380" s="40" t="s">
        <v>356</v>
      </c>
      <c r="C380" s="47">
        <v>1</v>
      </c>
      <c r="D380" s="54" t="s">
        <v>78</v>
      </c>
      <c r="E380" s="19">
        <f>'Mano de Obra Sanitaria'!D76</f>
        <v>1012.82</v>
      </c>
      <c r="F380" s="80">
        <f>SUM(E380*C380)</f>
        <v>1012.82</v>
      </c>
    </row>
    <row r="381" spans="1:6" ht="19.2" thickBot="1">
      <c r="A381" s="2"/>
      <c r="B381" s="42"/>
      <c r="C381" s="43"/>
      <c r="D381" s="44"/>
      <c r="E381" s="45" t="s">
        <v>41</v>
      </c>
      <c r="F381" s="46">
        <f>SUM(F378:F380)</f>
        <v>4314.32</v>
      </c>
    </row>
    <row r="382" spans="1:6" ht="19.8" thickTop="1" thickBot="1">
      <c r="A382" s="2"/>
      <c r="B382" s="42"/>
      <c r="C382" s="43"/>
      <c r="D382" s="44"/>
      <c r="E382" s="50"/>
      <c r="F382" s="51"/>
    </row>
    <row r="383" spans="1:6" ht="19.2" thickBot="1">
      <c r="A383" s="26" t="s">
        <v>730</v>
      </c>
      <c r="B383" s="36" t="s">
        <v>368</v>
      </c>
      <c r="C383" s="37"/>
      <c r="D383" s="37"/>
      <c r="E383" s="38"/>
      <c r="F383" s="39"/>
    </row>
    <row r="384" spans="1:6">
      <c r="A384" s="2"/>
      <c r="B384" s="40" t="s">
        <v>309</v>
      </c>
      <c r="C384" s="47">
        <v>0.5</v>
      </c>
      <c r="D384" s="54" t="s">
        <v>58</v>
      </c>
      <c r="E384" s="19">
        <f>'Insumos sanitarios'!D19</f>
        <v>904.81</v>
      </c>
      <c r="F384" s="80">
        <f>SUM(E384*C384)</f>
        <v>452.40499999999997</v>
      </c>
    </row>
    <row r="385" spans="1:6">
      <c r="A385" s="2"/>
      <c r="B385" s="40" t="s">
        <v>710</v>
      </c>
      <c r="C385" s="47">
        <v>1</v>
      </c>
      <c r="D385" s="54" t="s">
        <v>58</v>
      </c>
      <c r="E385" s="19">
        <f>'Insumos sanitarios'!$D$37</f>
        <v>45.24</v>
      </c>
      <c r="F385" s="80">
        <f>SUM(E385*C385)</f>
        <v>45.24</v>
      </c>
    </row>
    <row r="386" spans="1:6">
      <c r="A386" s="2"/>
      <c r="B386" s="40" t="s">
        <v>20</v>
      </c>
      <c r="C386" s="47">
        <v>0.01</v>
      </c>
      <c r="D386" s="54" t="s">
        <v>67</v>
      </c>
      <c r="E386" s="19">
        <f>'Insumos sanitarios'!$D$148</f>
        <v>1799</v>
      </c>
      <c r="F386" s="80">
        <f>SUM(E386*C386)</f>
        <v>17.990000000000002</v>
      </c>
    </row>
    <row r="387" spans="1:6">
      <c r="A387" s="2"/>
      <c r="B387" s="40" t="s">
        <v>259</v>
      </c>
      <c r="C387" s="47">
        <v>1</v>
      </c>
      <c r="D387" s="54" t="s">
        <v>78</v>
      </c>
      <c r="E387" s="20">
        <f>'Mano de Obra Sanitaria'!D75</f>
        <v>809.27</v>
      </c>
      <c r="F387" s="80">
        <f>SUM(E387*C387)</f>
        <v>809.27</v>
      </c>
    </row>
    <row r="388" spans="1:6" ht="19.2" thickBot="1">
      <c r="A388" s="2"/>
      <c r="B388" s="42"/>
      <c r="C388" s="43"/>
      <c r="D388" s="44"/>
      <c r="E388" s="45" t="s">
        <v>41</v>
      </c>
      <c r="F388" s="46">
        <f>SUM(F382:F387)</f>
        <v>1324.905</v>
      </c>
    </row>
    <row r="389" spans="1:6" ht="19.8" thickTop="1" thickBot="1">
      <c r="A389" s="2"/>
    </row>
    <row r="390" spans="1:6" ht="19.2" thickBot="1">
      <c r="A390" s="26" t="s">
        <v>731</v>
      </c>
      <c r="B390" s="36" t="s">
        <v>415</v>
      </c>
      <c r="C390" s="37"/>
      <c r="D390" s="37"/>
      <c r="E390" s="38"/>
      <c r="F390" s="39"/>
    </row>
    <row r="391" spans="1:6">
      <c r="A391" s="2"/>
      <c r="B391" s="56" t="s">
        <v>369</v>
      </c>
      <c r="C391" s="59">
        <v>1</v>
      </c>
      <c r="D391" s="54" t="s">
        <v>58</v>
      </c>
      <c r="E391" s="19">
        <f>'Insumos sanitarios'!D62</f>
        <v>896.8</v>
      </c>
      <c r="F391" s="82">
        <f>SUM(E391*C391)</f>
        <v>896.8</v>
      </c>
    </row>
    <row r="392" spans="1:6">
      <c r="A392" s="2"/>
      <c r="B392" s="40" t="s">
        <v>271</v>
      </c>
      <c r="C392" s="59">
        <v>1</v>
      </c>
      <c r="D392" s="54" t="s">
        <v>78</v>
      </c>
      <c r="E392" s="19">
        <f>'Mano de Obra Sanitaria'!D60</f>
        <v>792.21</v>
      </c>
      <c r="F392" s="82">
        <f>SUM(E392*C392)</f>
        <v>792.21</v>
      </c>
    </row>
    <row r="393" spans="1:6" ht="19.2" thickBot="1">
      <c r="A393" s="2"/>
      <c r="B393" s="42"/>
      <c r="C393" s="43"/>
      <c r="D393" s="44"/>
      <c r="E393" s="45" t="s">
        <v>41</v>
      </c>
      <c r="F393" s="46">
        <f>SUM(F390:F392)</f>
        <v>1689.01</v>
      </c>
    </row>
    <row r="394" spans="1:6" ht="19.8" thickTop="1" thickBot="1">
      <c r="A394" s="2"/>
    </row>
    <row r="395" spans="1:6" ht="19.2" thickBot="1">
      <c r="A395" s="26" t="s">
        <v>732</v>
      </c>
      <c r="B395" s="36" t="s">
        <v>270</v>
      </c>
      <c r="C395" s="37"/>
      <c r="D395" s="37"/>
      <c r="E395" s="38"/>
      <c r="F395" s="39"/>
    </row>
    <row r="396" spans="1:6">
      <c r="A396" s="2"/>
      <c r="B396" s="56" t="s">
        <v>446</v>
      </c>
      <c r="C396" s="59">
        <v>1</v>
      </c>
      <c r="D396" s="54" t="s">
        <v>58</v>
      </c>
      <c r="E396" s="19">
        <f>'Insumos sanitarios'!D64</f>
        <v>2679.7799999999997</v>
      </c>
      <c r="F396" s="82">
        <f>SUM(E396*C396)</f>
        <v>2679.7799999999997</v>
      </c>
    </row>
    <row r="397" spans="1:6">
      <c r="A397" s="2"/>
      <c r="B397" s="40" t="s">
        <v>271</v>
      </c>
      <c r="C397" s="59">
        <v>1</v>
      </c>
      <c r="D397" s="54" t="s">
        <v>78</v>
      </c>
      <c r="E397" s="19">
        <f>'Mano de Obra Sanitaria'!D75</f>
        <v>809.27</v>
      </c>
      <c r="F397" s="82">
        <f>SUM(E397*C397)</f>
        <v>809.27</v>
      </c>
    </row>
    <row r="398" spans="1:6" ht="19.2" thickBot="1">
      <c r="A398" s="2"/>
      <c r="B398" s="42"/>
      <c r="C398" s="60"/>
      <c r="D398" s="44"/>
      <c r="E398" s="45" t="s">
        <v>41</v>
      </c>
      <c r="F398" s="46">
        <f>SUM(F396:F397)</f>
        <v>3489.0499999999997</v>
      </c>
    </row>
    <row r="399" spans="1:6" ht="19.2" thickTop="1">
      <c r="A399" s="2"/>
    </row>
    <row r="400" spans="1:6" ht="19.2" thickBot="1">
      <c r="A400" s="2"/>
    </row>
    <row r="401" spans="1:6" ht="19.2" thickBot="1">
      <c r="A401" s="26" t="s">
        <v>733</v>
      </c>
      <c r="B401" s="36" t="s">
        <v>363</v>
      </c>
      <c r="C401" s="37"/>
      <c r="D401" s="37"/>
      <c r="E401" s="38"/>
      <c r="F401" s="39"/>
    </row>
    <row r="402" spans="1:6">
      <c r="A402" s="2"/>
      <c r="B402" s="56" t="s">
        <v>711</v>
      </c>
      <c r="C402" s="59">
        <v>1</v>
      </c>
      <c r="D402" s="54" t="s">
        <v>58</v>
      </c>
      <c r="E402" s="19">
        <f>'Insumos sanitarios'!D61</f>
        <v>312.7</v>
      </c>
      <c r="F402" s="82">
        <f>SUM(E402*C402)</f>
        <v>312.7</v>
      </c>
    </row>
    <row r="403" spans="1:6">
      <c r="A403" s="2"/>
      <c r="B403" s="40" t="s">
        <v>271</v>
      </c>
      <c r="C403" s="59">
        <v>1</v>
      </c>
      <c r="D403" s="54" t="s">
        <v>78</v>
      </c>
      <c r="E403" s="19">
        <f>'Mano de Obra Sanitaria'!D59</f>
        <v>703.71</v>
      </c>
      <c r="F403" s="82">
        <f>SUM(E403*C403)</f>
        <v>703.71</v>
      </c>
    </row>
    <row r="404" spans="1:6" ht="19.2" thickBot="1">
      <c r="A404" s="2"/>
      <c r="B404" s="42"/>
      <c r="C404" s="60"/>
      <c r="D404" s="44"/>
      <c r="E404" s="45" t="s">
        <v>41</v>
      </c>
      <c r="F404" s="46">
        <f>SUM(F402:F403)</f>
        <v>1016.4100000000001</v>
      </c>
    </row>
    <row r="405" spans="1:6" ht="19.8" thickTop="1" thickBot="1">
      <c r="A405" s="2"/>
    </row>
    <row r="406" spans="1:6" ht="19.2" thickBot="1">
      <c r="A406" s="26" t="s">
        <v>734</v>
      </c>
      <c r="B406" s="36" t="s">
        <v>272</v>
      </c>
      <c r="C406" s="37"/>
      <c r="D406" s="37"/>
      <c r="E406" s="38"/>
      <c r="F406" s="39"/>
    </row>
    <row r="407" spans="1:6">
      <c r="A407" s="2"/>
      <c r="B407" s="56" t="s">
        <v>470</v>
      </c>
      <c r="C407" s="59">
        <v>1</v>
      </c>
      <c r="D407" s="54" t="s">
        <v>58</v>
      </c>
      <c r="E407" s="19">
        <f>'Insumos sanitarios'!D63</f>
        <v>1283.1320000000001</v>
      </c>
      <c r="F407" s="82">
        <f>SUM(E407*C407)</f>
        <v>1283.1320000000001</v>
      </c>
    </row>
    <row r="408" spans="1:6">
      <c r="A408" s="2"/>
      <c r="B408" s="40" t="s">
        <v>271</v>
      </c>
      <c r="C408" s="59">
        <v>1</v>
      </c>
      <c r="D408" s="54" t="s">
        <v>78</v>
      </c>
      <c r="E408" s="19">
        <f>'Mano de Obra Sanitaria'!D61</f>
        <v>792.21</v>
      </c>
      <c r="F408" s="82">
        <f>SUM(E408*C408)</f>
        <v>792.21</v>
      </c>
    </row>
    <row r="409" spans="1:6" ht="19.2" thickBot="1">
      <c r="A409" s="2"/>
      <c r="B409" s="42"/>
      <c r="C409" s="60"/>
      <c r="D409" s="44"/>
      <c r="E409" s="45" t="s">
        <v>41</v>
      </c>
      <c r="F409" s="46">
        <f>SUM(F407:F408)</f>
        <v>2075.3420000000001</v>
      </c>
    </row>
    <row r="410" spans="1:6" ht="19.8" thickTop="1" thickBot="1">
      <c r="A410" s="2"/>
    </row>
    <row r="411" spans="1:6" ht="19.2" thickBot="1">
      <c r="A411" s="26" t="s">
        <v>735</v>
      </c>
      <c r="B411" s="36" t="s">
        <v>274</v>
      </c>
      <c r="C411" s="37"/>
      <c r="D411" s="37"/>
      <c r="E411" s="38"/>
      <c r="F411" s="39"/>
    </row>
    <row r="412" spans="1:6">
      <c r="A412" s="2"/>
      <c r="B412" s="56" t="s">
        <v>712</v>
      </c>
      <c r="C412" s="59">
        <v>1</v>
      </c>
      <c r="D412" s="54" t="s">
        <v>58</v>
      </c>
      <c r="E412" s="19">
        <f>'Insumos sanitarios'!D59</f>
        <v>197.29599999999996</v>
      </c>
      <c r="F412" s="82">
        <f>SUM(E412*C412)</f>
        <v>197.29599999999996</v>
      </c>
    </row>
    <row r="413" spans="1:6">
      <c r="A413" s="2"/>
      <c r="B413" s="40" t="s">
        <v>271</v>
      </c>
      <c r="C413" s="59">
        <v>1</v>
      </c>
      <c r="D413" s="54" t="s">
        <v>78</v>
      </c>
      <c r="E413" s="19">
        <f>'Mano de Obra Sanitaria'!D58</f>
        <v>615.21</v>
      </c>
      <c r="F413" s="82">
        <f>SUM(E413*C413)</f>
        <v>615.21</v>
      </c>
    </row>
    <row r="414" spans="1:6" ht="19.2" thickBot="1">
      <c r="A414" s="2"/>
      <c r="B414" s="42"/>
      <c r="C414" s="60"/>
      <c r="D414" s="44"/>
      <c r="E414" s="45" t="s">
        <v>41</v>
      </c>
      <c r="F414" s="46">
        <f>SUM(F412:F413)</f>
        <v>812.50599999999997</v>
      </c>
    </row>
    <row r="415" spans="1:6" ht="19.2" thickTop="1">
      <c r="A415" s="2"/>
    </row>
    <row r="416" spans="1:6">
      <c r="A416" s="2"/>
      <c r="B416" s="42"/>
      <c r="C416" s="43"/>
      <c r="D416" s="44"/>
      <c r="E416" s="50"/>
      <c r="F416" s="51"/>
    </row>
    <row r="417" spans="1:6" ht="19.2" thickBot="1">
      <c r="A417" s="2"/>
      <c r="B417" s="42"/>
      <c r="C417" s="43"/>
      <c r="D417" s="44"/>
      <c r="E417" s="50"/>
      <c r="F417" s="51"/>
    </row>
    <row r="418" spans="1:6" ht="19.2" thickBot="1">
      <c r="A418" s="26" t="s">
        <v>736</v>
      </c>
      <c r="B418" s="36" t="s">
        <v>263</v>
      </c>
      <c r="C418" s="37"/>
      <c r="D418" s="37"/>
      <c r="E418" s="38"/>
      <c r="F418" s="39"/>
    </row>
    <row r="419" spans="1:6">
      <c r="A419" s="2"/>
      <c r="B419" s="40" t="s">
        <v>261</v>
      </c>
      <c r="C419" s="47">
        <v>1</v>
      </c>
      <c r="D419" s="54" t="s">
        <v>60</v>
      </c>
      <c r="E419" s="19">
        <f>'Insumos sanitarios'!D69/5.75</f>
        <v>683.13043478260875</v>
      </c>
      <c r="F419" s="80">
        <f>SUM(E419*C419)</f>
        <v>683.13043478260875</v>
      </c>
    </row>
    <row r="420" spans="1:6">
      <c r="A420" s="2"/>
      <c r="B420" s="40" t="s">
        <v>264</v>
      </c>
      <c r="C420" s="47">
        <v>1</v>
      </c>
      <c r="D420" s="54" t="s">
        <v>60</v>
      </c>
      <c r="E420" s="19">
        <v>10</v>
      </c>
      <c r="F420" s="80">
        <f>SUM(E420*C420)</f>
        <v>10</v>
      </c>
    </row>
    <row r="421" spans="1:6">
      <c r="A421" s="2"/>
      <c r="B421" s="40" t="s">
        <v>46</v>
      </c>
      <c r="C421" s="47">
        <v>1</v>
      </c>
      <c r="D421" s="54" t="s">
        <v>60</v>
      </c>
      <c r="E421" s="19">
        <f>'Mano de Obra Sanitaria'!D149</f>
        <v>44.32</v>
      </c>
      <c r="F421" s="80">
        <f>SUM(E421*C421)</f>
        <v>44.32</v>
      </c>
    </row>
    <row r="422" spans="1:6" ht="19.2" thickBot="1">
      <c r="A422" s="2"/>
      <c r="B422" s="42"/>
      <c r="C422" s="43"/>
      <c r="D422" s="44"/>
      <c r="E422" s="45" t="s">
        <v>42</v>
      </c>
      <c r="F422" s="46">
        <f>SUM(F419:F421)</f>
        <v>737.4504347826088</v>
      </c>
    </row>
    <row r="423" spans="1:6" ht="19.8" thickTop="1" thickBot="1">
      <c r="A423" s="2"/>
      <c r="B423" s="42"/>
      <c r="C423" s="43"/>
      <c r="D423" s="44"/>
      <c r="E423" s="50"/>
      <c r="F423" s="51"/>
    </row>
    <row r="424" spans="1:6" ht="19.2" thickBot="1">
      <c r="A424" s="26" t="s">
        <v>737</v>
      </c>
      <c r="B424" s="36" t="s">
        <v>534</v>
      </c>
      <c r="C424" s="37"/>
      <c r="D424" s="37"/>
      <c r="E424" s="38"/>
      <c r="F424" s="39"/>
    </row>
    <row r="425" spans="1:6">
      <c r="A425" s="2"/>
      <c r="B425" s="40" t="s">
        <v>354</v>
      </c>
      <c r="C425" s="47">
        <v>1</v>
      </c>
      <c r="D425" s="54" t="s">
        <v>60</v>
      </c>
      <c r="E425" s="19">
        <f>'Insumos sanitarios'!D70/5.75</f>
        <v>992.52173913043475</v>
      </c>
      <c r="F425" s="80">
        <f>SUM(E425*C425)</f>
        <v>992.52173913043475</v>
      </c>
    </row>
    <row r="426" spans="1:6">
      <c r="A426" s="2"/>
      <c r="B426" s="40" t="s">
        <v>264</v>
      </c>
      <c r="C426" s="47">
        <v>1</v>
      </c>
      <c r="D426" s="54" t="s">
        <v>60</v>
      </c>
      <c r="E426" s="19">
        <v>10</v>
      </c>
      <c r="F426" s="80">
        <f>SUM(E426*C426)</f>
        <v>10</v>
      </c>
    </row>
    <row r="427" spans="1:6">
      <c r="A427" s="2"/>
      <c r="B427" s="40" t="s">
        <v>46</v>
      </c>
      <c r="C427" s="47">
        <v>1</v>
      </c>
      <c r="D427" s="54" t="s">
        <v>60</v>
      </c>
      <c r="E427" s="19">
        <f>'Mano de Obra Sanitaria'!D150</f>
        <v>54.17</v>
      </c>
      <c r="F427" s="80">
        <f>SUM(E427*C427)</f>
        <v>54.17</v>
      </c>
    </row>
    <row r="428" spans="1:6" ht="19.2" thickBot="1">
      <c r="A428" s="2"/>
      <c r="B428" s="42"/>
      <c r="C428" s="43"/>
      <c r="D428" s="44"/>
      <c r="E428" s="45" t="s">
        <v>42</v>
      </c>
      <c r="F428" s="46">
        <f>SUM(F425:F427)</f>
        <v>1056.6917391304348</v>
      </c>
    </row>
    <row r="429" spans="1:6" ht="19.2" thickTop="1">
      <c r="A429" s="2"/>
      <c r="B429" s="31"/>
      <c r="C429" s="47"/>
      <c r="D429" s="54"/>
      <c r="E429" s="24"/>
      <c r="F429" s="25"/>
    </row>
    <row r="430" spans="1:6" ht="19.2" thickBot="1">
      <c r="A430" s="2"/>
    </row>
    <row r="431" spans="1:6" ht="19.2" thickBot="1">
      <c r="A431" s="26" t="s">
        <v>738</v>
      </c>
      <c r="B431" s="36" t="s">
        <v>382</v>
      </c>
      <c r="C431" s="37"/>
      <c r="D431" s="37"/>
      <c r="E431" s="38"/>
      <c r="F431" s="39"/>
    </row>
    <row r="432" spans="1:6">
      <c r="A432" s="2"/>
      <c r="B432" s="52" t="s">
        <v>132</v>
      </c>
      <c r="C432" s="71">
        <v>1</v>
      </c>
      <c r="D432" s="71" t="s">
        <v>60</v>
      </c>
      <c r="E432" s="81">
        <f>'Insumos sanitarios'!D10/5.79</f>
        <v>242.40746113989636</v>
      </c>
      <c r="F432" s="71">
        <f>SUM(E432*C432)</f>
        <v>242.40746113989636</v>
      </c>
    </row>
    <row r="433" spans="1:6">
      <c r="A433" s="2"/>
      <c r="B433" s="52" t="s">
        <v>269</v>
      </c>
      <c r="C433" s="71">
        <v>1</v>
      </c>
      <c r="D433" s="71" t="s">
        <v>60</v>
      </c>
      <c r="E433" s="81">
        <v>10</v>
      </c>
      <c r="F433" s="71">
        <f>SUM(E433*C433)</f>
        <v>10</v>
      </c>
    </row>
    <row r="434" spans="1:6">
      <c r="A434" s="2"/>
      <c r="B434" s="52" t="s">
        <v>133</v>
      </c>
      <c r="C434" s="71">
        <v>1</v>
      </c>
      <c r="D434" s="71" t="s">
        <v>60</v>
      </c>
      <c r="E434" s="81">
        <f>'Mano de Obra Sanitaria'!D124</f>
        <v>24.62</v>
      </c>
      <c r="F434" s="71">
        <f>SUM(E434*C434)</f>
        <v>24.62</v>
      </c>
    </row>
    <row r="435" spans="1:6" ht="19.2" thickBot="1">
      <c r="A435" s="2"/>
      <c r="B435" s="42"/>
      <c r="C435" s="71"/>
      <c r="D435" s="71"/>
      <c r="E435" s="45" t="s">
        <v>42</v>
      </c>
      <c r="F435" s="46">
        <f>SUM(F432:F434)</f>
        <v>277.02746113989633</v>
      </c>
    </row>
    <row r="436" spans="1:6" ht="19.8" thickTop="1" thickBot="1">
      <c r="A436" s="2"/>
      <c r="C436" s="71"/>
      <c r="D436" s="71"/>
      <c r="E436" s="81"/>
      <c r="F436" s="71"/>
    </row>
    <row r="437" spans="1:6" ht="19.2" thickBot="1">
      <c r="A437" s="26" t="s">
        <v>739</v>
      </c>
      <c r="B437" s="36" t="s">
        <v>383</v>
      </c>
      <c r="C437" s="37"/>
      <c r="D437" s="37"/>
      <c r="E437" s="38"/>
      <c r="F437" s="39"/>
    </row>
    <row r="438" spans="1:6">
      <c r="A438" s="2"/>
      <c r="B438" s="52" t="s">
        <v>132</v>
      </c>
      <c r="C438" s="71">
        <v>1</v>
      </c>
      <c r="D438" s="71" t="s">
        <v>60</v>
      </c>
      <c r="E438" s="81">
        <f>'Insumos sanitarios'!D8/5.79</f>
        <v>622.2248013816926</v>
      </c>
      <c r="F438" s="71">
        <f>SUM(E438*C438)</f>
        <v>622.2248013816926</v>
      </c>
    </row>
    <row r="439" spans="1:6">
      <c r="A439" s="2"/>
      <c r="B439" s="52" t="s">
        <v>269</v>
      </c>
      <c r="C439" s="71">
        <v>1</v>
      </c>
      <c r="D439" s="71" t="s">
        <v>60</v>
      </c>
      <c r="E439" s="81">
        <v>10</v>
      </c>
      <c r="F439" s="71">
        <f>SUM(E439*C439)</f>
        <v>10</v>
      </c>
    </row>
    <row r="440" spans="1:6">
      <c r="A440" s="2"/>
      <c r="B440" s="52" t="s">
        <v>133</v>
      </c>
      <c r="C440" s="71">
        <v>1</v>
      </c>
      <c r="D440" s="71" t="s">
        <v>60</v>
      </c>
      <c r="E440" s="81">
        <f>'Mano de Obra Sanitaria'!D121</f>
        <v>29.97</v>
      </c>
      <c r="F440" s="71">
        <f>SUM(E440*C440)</f>
        <v>29.97</v>
      </c>
    </row>
    <row r="441" spans="1:6" ht="19.2" thickBot="1">
      <c r="A441" s="2"/>
      <c r="B441" s="42"/>
      <c r="C441" s="71"/>
      <c r="D441" s="71"/>
      <c r="E441" s="45" t="s">
        <v>42</v>
      </c>
      <c r="F441" s="46">
        <f>SUM(F438:F440)</f>
        <v>662.19480138169263</v>
      </c>
    </row>
    <row r="442" spans="1:6" ht="19.8" thickTop="1" thickBot="1">
      <c r="A442" s="2"/>
    </row>
    <row r="443" spans="1:6" ht="19.2" thickBot="1">
      <c r="A443" s="26" t="s">
        <v>740</v>
      </c>
      <c r="B443" s="36" t="s">
        <v>449</v>
      </c>
      <c r="C443" s="37"/>
      <c r="D443" s="37"/>
      <c r="E443" s="38"/>
      <c r="F443" s="39"/>
    </row>
    <row r="444" spans="1:6">
      <c r="A444" s="2"/>
      <c r="B444" s="52" t="s">
        <v>132</v>
      </c>
      <c r="C444" s="71">
        <v>1</v>
      </c>
      <c r="D444" s="71" t="s">
        <v>60</v>
      </c>
      <c r="E444" s="81">
        <f>'Insumos sanitarios'!D7/5.79</f>
        <v>1050.3410293609672</v>
      </c>
      <c r="F444" s="71">
        <f>SUM(E444*C444)</f>
        <v>1050.3410293609672</v>
      </c>
    </row>
    <row r="445" spans="1:6">
      <c r="A445" s="2"/>
      <c r="B445" s="52" t="s">
        <v>269</v>
      </c>
      <c r="C445" s="71">
        <v>1</v>
      </c>
      <c r="D445" s="71" t="s">
        <v>60</v>
      </c>
      <c r="E445" s="81">
        <v>10</v>
      </c>
      <c r="F445" s="71">
        <f>SUM(E445*C445)</f>
        <v>10</v>
      </c>
    </row>
    <row r="446" spans="1:6">
      <c r="A446" s="2"/>
      <c r="B446" s="52" t="s">
        <v>133</v>
      </c>
      <c r="C446" s="71">
        <v>1</v>
      </c>
      <c r="D446" s="71" t="s">
        <v>60</v>
      </c>
      <c r="E446" s="81">
        <f>'Mano de Obra Sanitaria'!D122</f>
        <v>32.83</v>
      </c>
      <c r="F446" s="71">
        <f>SUM(E446*C446)</f>
        <v>32.83</v>
      </c>
    </row>
    <row r="447" spans="1:6" ht="19.2" thickBot="1">
      <c r="A447" s="2"/>
      <c r="B447" s="42"/>
      <c r="C447" s="71"/>
      <c r="D447" s="71"/>
      <c r="E447" s="45" t="s">
        <v>42</v>
      </c>
      <c r="F447" s="46">
        <f>SUM(F444:F446)</f>
        <v>1093.1710293609672</v>
      </c>
    </row>
    <row r="448" spans="1:6" ht="19.8" thickTop="1" thickBot="1">
      <c r="A448" s="2"/>
    </row>
    <row r="449" spans="1:6" ht="19.2" thickBot="1">
      <c r="A449" s="26" t="s">
        <v>741</v>
      </c>
      <c r="B449" s="36" t="s">
        <v>479</v>
      </c>
      <c r="C449" s="37"/>
      <c r="D449" s="37"/>
      <c r="E449" s="38"/>
      <c r="F449" s="39"/>
    </row>
    <row r="450" spans="1:6">
      <c r="A450" s="2"/>
      <c r="B450" s="52" t="s">
        <v>132</v>
      </c>
      <c r="C450" s="71">
        <v>1</v>
      </c>
      <c r="D450" s="71" t="s">
        <v>60</v>
      </c>
      <c r="E450" s="81">
        <f>'Insumos sanitarios'!D6/5.79</f>
        <v>2297.9862107081171</v>
      </c>
      <c r="F450" s="71">
        <f>SUM(E450*C450)</f>
        <v>2297.9862107081171</v>
      </c>
    </row>
    <row r="451" spans="1:6">
      <c r="A451" s="2"/>
      <c r="B451" s="52" t="s">
        <v>269</v>
      </c>
      <c r="C451" s="71">
        <v>1</v>
      </c>
      <c r="D451" s="71" t="s">
        <v>60</v>
      </c>
      <c r="E451" s="81">
        <v>10</v>
      </c>
      <c r="F451" s="71">
        <f>SUM(E451*C451)</f>
        <v>10</v>
      </c>
    </row>
    <row r="452" spans="1:6">
      <c r="A452" s="2"/>
      <c r="B452" s="52" t="s">
        <v>133</v>
      </c>
      <c r="C452" s="71">
        <v>1</v>
      </c>
      <c r="D452" s="71" t="s">
        <v>60</v>
      </c>
      <c r="E452" s="81">
        <f>'Mano de Obra Sanitaria'!D120</f>
        <v>42.68</v>
      </c>
      <c r="F452" s="71">
        <f>SUM(E452*C452)</f>
        <v>42.68</v>
      </c>
    </row>
    <row r="453" spans="1:6" ht="19.2" thickBot="1">
      <c r="A453" s="2"/>
      <c r="B453" s="42"/>
      <c r="C453" s="71"/>
      <c r="D453" s="71"/>
      <c r="E453" s="45" t="s">
        <v>42</v>
      </c>
      <c r="F453" s="46">
        <f>SUM(F450:F452)</f>
        <v>2350.666210708117</v>
      </c>
    </row>
    <row r="454" spans="1:6" ht="19.2" thickTop="1">
      <c r="A454" s="2"/>
    </row>
    <row r="455" spans="1:6" ht="19.2" thickBot="1">
      <c r="A455" s="2"/>
    </row>
    <row r="456" spans="1:6" ht="19.2" thickBot="1">
      <c r="A456" s="26" t="s">
        <v>742</v>
      </c>
      <c r="B456" s="36" t="s">
        <v>282</v>
      </c>
      <c r="C456" s="37"/>
      <c r="D456" s="37"/>
      <c r="E456" s="38"/>
      <c r="F456" s="39"/>
    </row>
    <row r="457" spans="1:6">
      <c r="A457" s="2"/>
      <c r="B457" s="52" t="s">
        <v>132</v>
      </c>
      <c r="C457" s="71">
        <v>1</v>
      </c>
      <c r="D457" s="71" t="s">
        <v>60</v>
      </c>
      <c r="E457" s="81">
        <f>'Insumos sanitarios'!D18/5.79</f>
        <v>72.507772020725383</v>
      </c>
      <c r="F457" s="71">
        <f>SUM(E457*C457)</f>
        <v>72.507772020725383</v>
      </c>
    </row>
    <row r="458" spans="1:6">
      <c r="A458" s="2"/>
      <c r="B458" s="52" t="s">
        <v>269</v>
      </c>
      <c r="C458" s="71">
        <v>1</v>
      </c>
      <c r="D458" s="71" t="s">
        <v>60</v>
      </c>
      <c r="E458" s="81">
        <v>10</v>
      </c>
      <c r="F458" s="71">
        <f>SUM(E458*C458)</f>
        <v>10</v>
      </c>
    </row>
    <row r="459" spans="1:6">
      <c r="A459" s="2"/>
      <c r="B459" s="52" t="s">
        <v>133</v>
      </c>
      <c r="C459" s="71">
        <v>1</v>
      </c>
      <c r="D459" s="71" t="s">
        <v>60</v>
      </c>
      <c r="E459" s="81">
        <f>'Mano de Obra Sanitaria'!$D$128</f>
        <v>14.98</v>
      </c>
      <c r="F459" s="71">
        <f>SUM(E459*C459)</f>
        <v>14.98</v>
      </c>
    </row>
    <row r="460" spans="1:6" ht="19.2" thickBot="1">
      <c r="A460" s="2"/>
      <c r="B460" s="42"/>
      <c r="C460" s="71"/>
      <c r="D460" s="71"/>
      <c r="E460" s="45" t="s">
        <v>42</v>
      </c>
      <c r="F460" s="46">
        <f>SUM(F457:F459)</f>
        <v>97.487772020725387</v>
      </c>
    </row>
    <row r="461" spans="1:6" ht="19.8" thickTop="1" thickBot="1">
      <c r="A461" s="2"/>
    </row>
    <row r="462" spans="1:6" ht="19.2" thickBot="1">
      <c r="A462" s="26" t="s">
        <v>743</v>
      </c>
      <c r="B462" s="36" t="s">
        <v>424</v>
      </c>
      <c r="C462" s="37"/>
      <c r="D462" s="37"/>
      <c r="E462" s="38"/>
      <c r="F462" s="39"/>
    </row>
    <row r="463" spans="1:6">
      <c r="A463" s="2"/>
      <c r="B463" s="52" t="s">
        <v>132</v>
      </c>
      <c r="C463" s="71">
        <v>1</v>
      </c>
      <c r="D463" s="71" t="s">
        <v>60</v>
      </c>
      <c r="E463" s="81">
        <f>'Insumos sanitarios'!D11/5.79</f>
        <v>69.207101899827279</v>
      </c>
      <c r="F463" s="71">
        <f>SUM(E463*C463)</f>
        <v>69.207101899827279</v>
      </c>
    </row>
    <row r="464" spans="1:6">
      <c r="A464" s="2"/>
      <c r="B464" s="52" t="s">
        <v>269</v>
      </c>
      <c r="C464" s="71">
        <v>1</v>
      </c>
      <c r="D464" s="71" t="s">
        <v>60</v>
      </c>
      <c r="E464" s="81">
        <v>10</v>
      </c>
      <c r="F464" s="71">
        <f>SUM(E464*C464)</f>
        <v>10</v>
      </c>
    </row>
    <row r="465" spans="1:6">
      <c r="A465" s="2"/>
      <c r="B465" s="52" t="s">
        <v>133</v>
      </c>
      <c r="C465" s="71">
        <v>1</v>
      </c>
      <c r="D465" s="71" t="s">
        <v>60</v>
      </c>
      <c r="E465" s="81">
        <f>'Mano de Obra Sanitaria'!$D$128</f>
        <v>14.98</v>
      </c>
      <c r="F465" s="71">
        <f>SUM(E465*C465)</f>
        <v>14.98</v>
      </c>
    </row>
    <row r="466" spans="1:6" ht="19.2" thickBot="1">
      <c r="A466" s="2"/>
      <c r="B466" s="42"/>
      <c r="C466" s="71"/>
      <c r="D466" s="71"/>
      <c r="E466" s="45" t="s">
        <v>42</v>
      </c>
      <c r="F466" s="46">
        <f>SUM(F463:F465)</f>
        <v>94.187101899827283</v>
      </c>
    </row>
    <row r="467" spans="1:6" ht="19.8" thickTop="1" thickBot="1">
      <c r="A467" s="2"/>
    </row>
    <row r="468" spans="1:6" ht="19.2" thickBot="1">
      <c r="A468" s="26" t="s">
        <v>744</v>
      </c>
      <c r="B468" s="36" t="s">
        <v>407</v>
      </c>
      <c r="C468" s="37"/>
      <c r="D468" s="37"/>
      <c r="E468" s="38"/>
      <c r="F468" s="39"/>
    </row>
    <row r="469" spans="1:6">
      <c r="A469" s="2"/>
      <c r="B469" s="52" t="s">
        <v>132</v>
      </c>
      <c r="C469" s="71">
        <v>1</v>
      </c>
      <c r="D469" s="71" t="s">
        <v>60</v>
      </c>
      <c r="E469" s="81">
        <f>'Insumos sanitarios'!D9/5.79</f>
        <v>149.00526424870466</v>
      </c>
      <c r="F469" s="71">
        <f>SUM(E469*C469)</f>
        <v>149.00526424870466</v>
      </c>
    </row>
    <row r="470" spans="1:6">
      <c r="A470" s="2"/>
      <c r="B470" s="52" t="s">
        <v>269</v>
      </c>
      <c r="C470" s="71">
        <v>1</v>
      </c>
      <c r="D470" s="71" t="s">
        <v>60</v>
      </c>
      <c r="E470" s="81">
        <v>10</v>
      </c>
      <c r="F470" s="71">
        <f>SUM(E470*C470)</f>
        <v>10</v>
      </c>
    </row>
    <row r="471" spans="1:6">
      <c r="A471" s="2"/>
      <c r="B471" s="52" t="s">
        <v>133</v>
      </c>
      <c r="C471" s="71">
        <v>1</v>
      </c>
      <c r="D471" s="71" t="s">
        <v>60</v>
      </c>
      <c r="E471" s="81">
        <f>'Mano de Obra Sanitaria'!D123</f>
        <v>21.34</v>
      </c>
      <c r="F471" s="71">
        <f>SUM(E471*C471)</f>
        <v>21.34</v>
      </c>
    </row>
    <row r="472" spans="1:6" ht="19.2" thickBot="1">
      <c r="A472" s="2"/>
      <c r="B472" s="42"/>
      <c r="C472" s="71"/>
      <c r="D472" s="71"/>
      <c r="E472" s="45" t="s">
        <v>42</v>
      </c>
      <c r="F472" s="46">
        <f>SUM(F469:F471)</f>
        <v>180.34526424870467</v>
      </c>
    </row>
    <row r="473" spans="1:6" ht="19.8" thickTop="1" thickBot="1">
      <c r="A473" s="2"/>
      <c r="C473" s="71"/>
      <c r="D473" s="71"/>
      <c r="E473" s="81"/>
      <c r="F473" s="71"/>
    </row>
    <row r="474" spans="1:6" ht="19.2" thickBot="1">
      <c r="A474" s="26" t="s">
        <v>745</v>
      </c>
      <c r="B474" s="36" t="s">
        <v>268</v>
      </c>
      <c r="C474" s="37"/>
      <c r="D474" s="37"/>
      <c r="E474" s="38"/>
      <c r="F474" s="39"/>
    </row>
    <row r="475" spans="1:6">
      <c r="A475" s="2"/>
      <c r="B475" s="52" t="s">
        <v>132</v>
      </c>
      <c r="C475" s="71">
        <v>1</v>
      </c>
      <c r="D475" s="71" t="s">
        <v>60</v>
      </c>
      <c r="E475" s="81">
        <f>'Insumos sanitarios'!D12/5.79</f>
        <v>39.716476683937813</v>
      </c>
      <c r="F475" s="71">
        <f t="shared" ref="F475:F477" si="17">SUM(E475*C475)</f>
        <v>39.716476683937813</v>
      </c>
    </row>
    <row r="476" spans="1:6">
      <c r="A476" s="2"/>
      <c r="B476" s="52" t="s">
        <v>269</v>
      </c>
      <c r="C476" s="71">
        <v>1</v>
      </c>
      <c r="D476" s="71" t="s">
        <v>60</v>
      </c>
      <c r="E476" s="81">
        <v>10</v>
      </c>
      <c r="F476" s="71">
        <f t="shared" si="17"/>
        <v>10</v>
      </c>
    </row>
    <row r="477" spans="1:6">
      <c r="A477" s="2"/>
      <c r="B477" s="52" t="s">
        <v>133</v>
      </c>
      <c r="C477" s="71">
        <v>1</v>
      </c>
      <c r="D477" s="71" t="s">
        <v>60</v>
      </c>
      <c r="E477" s="81">
        <f>'Mano de Obra Sanitaria'!$D$125</f>
        <v>5.99</v>
      </c>
      <c r="F477" s="71">
        <f t="shared" si="17"/>
        <v>5.99</v>
      </c>
    </row>
    <row r="478" spans="1:6" ht="19.2" thickBot="1">
      <c r="A478" s="2"/>
      <c r="B478" s="42"/>
      <c r="C478" s="71"/>
      <c r="D478" s="71"/>
      <c r="E478" s="45" t="s">
        <v>42</v>
      </c>
      <c r="F478" s="46">
        <f>SUM(F475:F477)</f>
        <v>55.706476683937815</v>
      </c>
    </row>
    <row r="479" spans="1:6" ht="19.8" thickTop="1" thickBot="1">
      <c r="A479" s="26" t="s">
        <v>746</v>
      </c>
      <c r="B479" s="36" t="s">
        <v>458</v>
      </c>
      <c r="C479" s="37"/>
      <c r="D479" s="37"/>
      <c r="E479" s="38"/>
      <c r="F479" s="39"/>
    </row>
    <row r="480" spans="1:6">
      <c r="A480" s="2"/>
      <c r="B480" s="52" t="s">
        <v>132</v>
      </c>
      <c r="C480" s="71">
        <v>1</v>
      </c>
      <c r="D480" s="71" t="s">
        <v>60</v>
      </c>
      <c r="E480" s="81">
        <f>+'Insumos sanitarios'!D59/4</f>
        <v>49.323999999999991</v>
      </c>
      <c r="F480" s="71">
        <f>SUM(E480*C480)</f>
        <v>49.323999999999991</v>
      </c>
    </row>
    <row r="481" spans="1:6">
      <c r="A481" s="2"/>
      <c r="B481" s="52" t="s">
        <v>269</v>
      </c>
      <c r="C481" s="71">
        <v>1</v>
      </c>
      <c r="D481" s="71" t="s">
        <v>60</v>
      </c>
      <c r="E481" s="81">
        <v>10</v>
      </c>
      <c r="F481" s="71">
        <f>SUM(E481*C481)</f>
        <v>10</v>
      </c>
    </row>
    <row r="482" spans="1:6">
      <c r="A482" s="2"/>
      <c r="B482" s="52" t="s">
        <v>133</v>
      </c>
      <c r="C482" s="71">
        <v>1</v>
      </c>
      <c r="D482" s="71" t="s">
        <v>60</v>
      </c>
      <c r="E482" s="81">
        <f>'Mano de Obra Sanitaria'!$D$126</f>
        <v>5.99</v>
      </c>
      <c r="F482" s="71">
        <f>SUM(E482*C482)</f>
        <v>5.99</v>
      </c>
    </row>
    <row r="483" spans="1:6" ht="19.2" thickBot="1">
      <c r="A483" s="2"/>
      <c r="B483" s="42"/>
      <c r="C483" s="71"/>
      <c r="D483" s="71"/>
      <c r="E483" s="45" t="s">
        <v>42</v>
      </c>
      <c r="F483" s="46">
        <f>SUM(F480:F482)</f>
        <v>65.313999999999993</v>
      </c>
    </row>
    <row r="484" spans="1:6" ht="19.8" thickTop="1" thickBot="1">
      <c r="A484" s="2"/>
    </row>
    <row r="485" spans="1:6" ht="19.2" thickBot="1">
      <c r="A485" s="26" t="s">
        <v>747</v>
      </c>
      <c r="B485" s="36" t="s">
        <v>461</v>
      </c>
      <c r="C485" s="37"/>
      <c r="D485" s="37"/>
      <c r="E485" s="38"/>
      <c r="F485" s="39"/>
    </row>
    <row r="486" spans="1:6">
      <c r="A486" s="2"/>
      <c r="B486" s="52" t="s">
        <v>132</v>
      </c>
      <c r="C486" s="71">
        <v>1</v>
      </c>
      <c r="D486" s="71" t="s">
        <v>60</v>
      </c>
      <c r="E486" s="81">
        <f>'Insumos sanitarios'!D58/4</f>
        <v>56.330249999999992</v>
      </c>
      <c r="F486" s="71">
        <f>SUM(E486*C486)</f>
        <v>56.330249999999992</v>
      </c>
    </row>
    <row r="487" spans="1:6">
      <c r="A487" s="2"/>
      <c r="B487" s="52" t="s">
        <v>269</v>
      </c>
      <c r="C487" s="71">
        <v>1</v>
      </c>
      <c r="D487" s="71" t="s">
        <v>60</v>
      </c>
      <c r="E487" s="81">
        <v>10</v>
      </c>
      <c r="F487" s="71">
        <f>SUM(E487*C487)</f>
        <v>10</v>
      </c>
    </row>
    <row r="488" spans="1:6">
      <c r="A488" s="2"/>
      <c r="B488" s="52" t="s">
        <v>133</v>
      </c>
      <c r="C488" s="71">
        <v>1</v>
      </c>
      <c r="D488" s="71" t="s">
        <v>60</v>
      </c>
      <c r="E488" s="81">
        <f>'Mano de Obra Sanitaria'!$D$126</f>
        <v>5.99</v>
      </c>
      <c r="F488" s="71">
        <f>SUM(E488*C488)</f>
        <v>5.99</v>
      </c>
    </row>
    <row r="489" spans="1:6" ht="19.2" thickBot="1">
      <c r="A489" s="2"/>
      <c r="B489" s="42"/>
      <c r="C489" s="71"/>
      <c r="D489" s="71"/>
      <c r="E489" s="45" t="s">
        <v>42</v>
      </c>
      <c r="F489" s="46">
        <f>SUM(F486:F488)</f>
        <v>72.320249999999987</v>
      </c>
    </row>
    <row r="490" spans="1:6" ht="19.2" thickTop="1">
      <c r="A490" s="2"/>
    </row>
    <row r="491" spans="1:6" ht="19.2" thickBot="1">
      <c r="A491" s="2"/>
    </row>
    <row r="492" spans="1:6" ht="19.2" thickBot="1">
      <c r="A492" s="26" t="s">
        <v>748</v>
      </c>
      <c r="B492" s="36" t="s">
        <v>459</v>
      </c>
      <c r="C492" s="37"/>
      <c r="D492" s="37"/>
      <c r="E492" s="38"/>
      <c r="F492" s="39"/>
    </row>
    <row r="493" spans="1:6">
      <c r="A493" s="2"/>
      <c r="B493" s="52" t="s">
        <v>132</v>
      </c>
      <c r="C493" s="71">
        <v>1</v>
      </c>
      <c r="D493" s="71" t="s">
        <v>60</v>
      </c>
      <c r="E493" s="81">
        <f>'Insumos sanitarios'!D57/4</f>
        <v>30.75375</v>
      </c>
      <c r="F493" s="71">
        <f>SUM(E493*C493)</f>
        <v>30.75375</v>
      </c>
    </row>
    <row r="494" spans="1:6">
      <c r="A494" s="2"/>
      <c r="B494" s="52" t="s">
        <v>269</v>
      </c>
      <c r="C494" s="71">
        <v>1</v>
      </c>
      <c r="D494" s="71" t="s">
        <v>60</v>
      </c>
      <c r="E494" s="81">
        <v>10</v>
      </c>
      <c r="F494" s="71">
        <f>SUM(E494*C494)</f>
        <v>10</v>
      </c>
    </row>
    <row r="495" spans="1:6">
      <c r="A495" s="2"/>
      <c r="B495" s="52" t="s">
        <v>133</v>
      </c>
      <c r="C495" s="71">
        <v>1</v>
      </c>
      <c r="D495" s="71" t="s">
        <v>60</v>
      </c>
      <c r="E495" s="81">
        <f>'Mano de Obra Sanitaria'!$D$125</f>
        <v>5.99</v>
      </c>
      <c r="F495" s="71">
        <f>SUM(E495*C495)</f>
        <v>5.99</v>
      </c>
    </row>
    <row r="496" spans="1:6" ht="19.2" thickBot="1">
      <c r="A496" s="2"/>
      <c r="B496" s="42"/>
      <c r="C496" s="71"/>
      <c r="D496" s="71"/>
      <c r="E496" s="45" t="s">
        <v>42</v>
      </c>
      <c r="F496" s="46">
        <f>SUM(F493:F495)</f>
        <v>46.743749999999999</v>
      </c>
    </row>
    <row r="497" spans="1:6" ht="19.8" thickTop="1" thickBot="1">
      <c r="A497" s="2"/>
    </row>
    <row r="498" spans="1:6" ht="19.2" thickBot="1">
      <c r="A498" s="26" t="s">
        <v>749</v>
      </c>
      <c r="B498" s="36" t="s">
        <v>463</v>
      </c>
      <c r="C498" s="37"/>
      <c r="D498" s="37"/>
      <c r="E498" s="38"/>
      <c r="F498" s="39"/>
    </row>
    <row r="499" spans="1:6">
      <c r="A499" s="2"/>
      <c r="B499" s="52" t="s">
        <v>132</v>
      </c>
      <c r="C499" s="71">
        <v>1</v>
      </c>
      <c r="D499" s="71" t="s">
        <v>60</v>
      </c>
      <c r="E499" s="81">
        <f>'Insumos sanitarios'!D56/4</f>
        <v>36.078499999999998</v>
      </c>
      <c r="F499" s="71">
        <f>SUM(E499*C499)</f>
        <v>36.078499999999998</v>
      </c>
    </row>
    <row r="500" spans="1:6">
      <c r="A500" s="2"/>
      <c r="B500" s="52" t="s">
        <v>269</v>
      </c>
      <c r="C500" s="71">
        <v>1</v>
      </c>
      <c r="D500" s="71" t="s">
        <v>60</v>
      </c>
      <c r="E500" s="81">
        <v>10</v>
      </c>
      <c r="F500" s="71">
        <f>SUM(E500*C500)</f>
        <v>10</v>
      </c>
    </row>
    <row r="501" spans="1:6">
      <c r="A501" s="2"/>
      <c r="B501" s="52" t="s">
        <v>133</v>
      </c>
      <c r="C501" s="71">
        <v>1</v>
      </c>
      <c r="D501" s="71" t="s">
        <v>60</v>
      </c>
      <c r="E501" s="81">
        <f>'Mano de Obra Sanitaria'!D125</f>
        <v>5.99</v>
      </c>
      <c r="F501" s="71">
        <f>SUM(E501*C501)</f>
        <v>5.99</v>
      </c>
    </row>
    <row r="502" spans="1:6" ht="19.2" thickBot="1">
      <c r="A502" s="2"/>
      <c r="B502" s="42"/>
      <c r="C502" s="71"/>
      <c r="D502" s="71"/>
      <c r="E502" s="45" t="s">
        <v>42</v>
      </c>
      <c r="F502" s="46">
        <f>SUM(F499:F501)</f>
        <v>52.0685</v>
      </c>
    </row>
    <row r="503" spans="1:6" ht="19.2" thickTop="1">
      <c r="A503" s="2"/>
    </row>
    <row r="504" spans="1:6" ht="19.2" thickBot="1">
      <c r="A504" s="2"/>
      <c r="B504" s="42"/>
      <c r="C504" s="71"/>
      <c r="D504" s="71"/>
      <c r="E504" s="50"/>
      <c r="F504" s="51"/>
    </row>
    <row r="505" spans="1:6" ht="19.2" thickBot="1">
      <c r="A505" s="26" t="s">
        <v>750</v>
      </c>
      <c r="B505" s="36" t="s">
        <v>417</v>
      </c>
      <c r="C505" s="37"/>
      <c r="D505" s="37"/>
      <c r="E505" s="38"/>
      <c r="F505" s="39"/>
    </row>
    <row r="506" spans="1:6">
      <c r="A506" s="2"/>
      <c r="B506" s="52" t="s">
        <v>132</v>
      </c>
      <c r="C506" s="71">
        <v>1</v>
      </c>
      <c r="D506" s="71" t="s">
        <v>60</v>
      </c>
      <c r="E506" s="81">
        <f>'Insumos sanitarios'!D64/4</f>
        <v>669.94499999999994</v>
      </c>
      <c r="F506" s="71">
        <f>SUM(E506*C506)</f>
        <v>669.94499999999994</v>
      </c>
    </row>
    <row r="507" spans="1:6">
      <c r="A507" s="2"/>
      <c r="B507" s="52" t="s">
        <v>269</v>
      </c>
      <c r="C507" s="71">
        <v>1</v>
      </c>
      <c r="D507" s="71" t="s">
        <v>60</v>
      </c>
      <c r="E507" s="81">
        <v>10</v>
      </c>
      <c r="F507" s="71">
        <f>SUM(E507*C507)</f>
        <v>10</v>
      </c>
    </row>
    <row r="508" spans="1:6">
      <c r="A508" s="2"/>
      <c r="B508" s="52" t="s">
        <v>133</v>
      </c>
      <c r="C508" s="71">
        <v>1</v>
      </c>
      <c r="D508" s="71" t="s">
        <v>60</v>
      </c>
      <c r="E508" s="81">
        <f>'Mano de Obra Sanitaria'!D123</f>
        <v>21.34</v>
      </c>
      <c r="F508" s="71">
        <f>SUM(E508*C508)</f>
        <v>21.34</v>
      </c>
    </row>
    <row r="509" spans="1:6" ht="19.2" thickBot="1">
      <c r="A509" s="2"/>
      <c r="B509" s="42"/>
      <c r="C509" s="71"/>
      <c r="D509" s="71"/>
      <c r="E509" s="45" t="s">
        <v>42</v>
      </c>
      <c r="F509" s="46">
        <f>SUM(F506:F508)</f>
        <v>701.28499999999997</v>
      </c>
    </row>
    <row r="510" spans="1:6" ht="19.8" thickTop="1" thickBot="1">
      <c r="A510" s="2"/>
    </row>
    <row r="511" spans="1:6" ht="19.2" thickBot="1">
      <c r="A511" s="26" t="s">
        <v>751</v>
      </c>
      <c r="B511" s="36" t="s">
        <v>511</v>
      </c>
      <c r="C511" s="37"/>
      <c r="D511" s="37"/>
      <c r="E511" s="38"/>
      <c r="F511" s="39"/>
    </row>
    <row r="512" spans="1:6">
      <c r="A512" s="2"/>
      <c r="B512" s="52" t="s">
        <v>132</v>
      </c>
      <c r="C512" s="71">
        <v>1</v>
      </c>
      <c r="D512" s="71" t="s">
        <v>60</v>
      </c>
      <c r="E512" s="81">
        <f>'Insumos sanitarios'!D65/4</f>
        <v>1043.8604499999999</v>
      </c>
      <c r="F512" s="71">
        <f>SUM(E512*C512)</f>
        <v>1043.8604499999999</v>
      </c>
    </row>
    <row r="513" spans="1:6">
      <c r="A513" s="2"/>
      <c r="B513" s="52" t="s">
        <v>269</v>
      </c>
      <c r="C513" s="71">
        <v>1</v>
      </c>
      <c r="D513" s="71" t="s">
        <v>60</v>
      </c>
      <c r="E513" s="81">
        <v>10</v>
      </c>
      <c r="F513" s="71">
        <f>SUM(E513*C513)</f>
        <v>10</v>
      </c>
    </row>
    <row r="514" spans="1:6">
      <c r="A514" s="2"/>
      <c r="B514" s="52" t="s">
        <v>133</v>
      </c>
      <c r="C514" s="71">
        <v>1</v>
      </c>
      <c r="D514" s="71" t="s">
        <v>60</v>
      </c>
      <c r="E514" s="81">
        <f>'Mano de Obra Sanitaria'!$D$124</f>
        <v>24.62</v>
      </c>
      <c r="F514" s="71">
        <f>SUM(E514*C514)</f>
        <v>24.62</v>
      </c>
    </row>
    <row r="515" spans="1:6" ht="19.2" thickBot="1">
      <c r="A515" s="2"/>
      <c r="B515" s="42"/>
      <c r="C515" s="71"/>
      <c r="D515" s="71"/>
      <c r="E515" s="45" t="s">
        <v>42</v>
      </c>
      <c r="F515" s="46">
        <f>SUM(F512:F514)</f>
        <v>1078.4804499999998</v>
      </c>
    </row>
    <row r="516" spans="1:6" ht="19.8" thickTop="1" thickBot="1">
      <c r="A516" s="2"/>
    </row>
    <row r="517" spans="1:6" ht="19.2" thickBot="1">
      <c r="A517" s="26" t="s">
        <v>752</v>
      </c>
      <c r="B517" s="36" t="s">
        <v>512</v>
      </c>
      <c r="C517" s="37"/>
      <c r="D517" s="37"/>
      <c r="E517" s="38"/>
      <c r="F517" s="39"/>
    </row>
    <row r="518" spans="1:6">
      <c r="A518" s="2"/>
      <c r="B518" s="52" t="s">
        <v>132</v>
      </c>
      <c r="C518" s="71">
        <v>1</v>
      </c>
      <c r="D518" s="71" t="s">
        <v>60</v>
      </c>
      <c r="E518" s="81">
        <f>'Insumos sanitarios'!D66/4</f>
        <v>895.62885000000006</v>
      </c>
      <c r="F518" s="71">
        <f>SUM(E518*C518)</f>
        <v>895.62885000000006</v>
      </c>
    </row>
    <row r="519" spans="1:6">
      <c r="A519" s="2"/>
      <c r="B519" s="52" t="s">
        <v>269</v>
      </c>
      <c r="C519" s="71">
        <v>1</v>
      </c>
      <c r="D519" s="71" t="s">
        <v>60</v>
      </c>
      <c r="E519" s="81">
        <v>10</v>
      </c>
      <c r="F519" s="71">
        <f>SUM(E519*C519)</f>
        <v>10</v>
      </c>
    </row>
    <row r="520" spans="1:6">
      <c r="A520" s="2"/>
      <c r="B520" s="52" t="s">
        <v>133</v>
      </c>
      <c r="C520" s="71">
        <v>1</v>
      </c>
      <c r="D520" s="71" t="s">
        <v>60</v>
      </c>
      <c r="E520" s="81">
        <f>'Mano de Obra Sanitaria'!$D$124</f>
        <v>24.62</v>
      </c>
      <c r="F520" s="71">
        <f>SUM(E520*C520)</f>
        <v>24.62</v>
      </c>
    </row>
    <row r="521" spans="1:6" ht="19.2" thickBot="1">
      <c r="A521" s="2"/>
      <c r="B521" s="42"/>
      <c r="C521" s="71"/>
      <c r="D521" s="71"/>
      <c r="E521" s="45" t="s">
        <v>42</v>
      </c>
      <c r="F521" s="46">
        <f>SUM(F518:F520)</f>
        <v>930.24885000000006</v>
      </c>
    </row>
    <row r="522" spans="1:6" ht="19.8" thickTop="1" thickBot="1">
      <c r="A522" s="2"/>
    </row>
    <row r="523" spans="1:6" ht="19.2" thickBot="1">
      <c r="A523" s="26" t="s">
        <v>753</v>
      </c>
      <c r="B523" s="36" t="s">
        <v>414</v>
      </c>
      <c r="C523" s="37"/>
      <c r="D523" s="37"/>
      <c r="E523" s="38"/>
      <c r="F523" s="39"/>
    </row>
    <row r="524" spans="1:6">
      <c r="A524" s="2"/>
      <c r="B524" s="52" t="s">
        <v>132</v>
      </c>
      <c r="C524" s="71">
        <v>1</v>
      </c>
      <c r="D524" s="71" t="s">
        <v>60</v>
      </c>
      <c r="E524" s="81">
        <f>'Insumos sanitarios'!D62/4</f>
        <v>224.2</v>
      </c>
      <c r="F524" s="71">
        <f>SUM(E524*C524)</f>
        <v>224.2</v>
      </c>
    </row>
    <row r="525" spans="1:6">
      <c r="A525" s="2"/>
      <c r="B525" s="52" t="s">
        <v>269</v>
      </c>
      <c r="C525" s="71">
        <v>1</v>
      </c>
      <c r="D525" s="71" t="s">
        <v>60</v>
      </c>
      <c r="E525" s="81">
        <v>10</v>
      </c>
      <c r="F525" s="71">
        <f>SUM(E525*C525)</f>
        <v>10</v>
      </c>
    </row>
    <row r="526" spans="1:6">
      <c r="A526" s="2"/>
      <c r="B526" s="52" t="s">
        <v>133</v>
      </c>
      <c r="C526" s="71">
        <v>1</v>
      </c>
      <c r="D526" s="71" t="s">
        <v>60</v>
      </c>
      <c r="E526" s="81">
        <f>'Mano de Obra Sanitaria'!D129</f>
        <v>14.98</v>
      </c>
      <c r="F526" s="71">
        <f>SUM(E526*C526)</f>
        <v>14.98</v>
      </c>
    </row>
    <row r="527" spans="1:6" ht="19.2" thickBot="1">
      <c r="A527" s="2"/>
      <c r="B527" s="42"/>
      <c r="C527" s="71"/>
      <c r="D527" s="71"/>
      <c r="E527" s="45" t="s">
        <v>42</v>
      </c>
      <c r="F527" s="46">
        <f>SUM(F524:F526)</f>
        <v>249.17999999999998</v>
      </c>
    </row>
    <row r="528" spans="1:6" ht="19.8" thickTop="1" thickBot="1">
      <c r="A528" s="2"/>
    </row>
    <row r="529" spans="1:6" ht="19.2" thickBot="1">
      <c r="A529" s="26" t="s">
        <v>754</v>
      </c>
      <c r="B529" s="36" t="s">
        <v>456</v>
      </c>
      <c r="C529" s="37"/>
      <c r="D529" s="37"/>
      <c r="E529" s="38"/>
      <c r="F529" s="39"/>
    </row>
    <row r="530" spans="1:6">
      <c r="A530" s="2"/>
      <c r="B530" s="52" t="s">
        <v>132</v>
      </c>
      <c r="C530" s="71">
        <v>1</v>
      </c>
      <c r="D530" s="71" t="s">
        <v>60</v>
      </c>
      <c r="E530" s="81">
        <f>'Insumos sanitarios'!D61/4</f>
        <v>78.174999999999997</v>
      </c>
      <c r="F530" s="71">
        <f>SUM(E530*C530)</f>
        <v>78.174999999999997</v>
      </c>
    </row>
    <row r="531" spans="1:6">
      <c r="A531" s="2"/>
      <c r="B531" s="52" t="s">
        <v>269</v>
      </c>
      <c r="C531" s="71">
        <v>1</v>
      </c>
      <c r="D531" s="71" t="s">
        <v>60</v>
      </c>
      <c r="E531" s="81">
        <v>10</v>
      </c>
      <c r="F531" s="71">
        <f>SUM(E531*C531)</f>
        <v>10</v>
      </c>
    </row>
    <row r="532" spans="1:6">
      <c r="A532" s="2"/>
      <c r="B532" s="52" t="s">
        <v>133</v>
      </c>
      <c r="C532" s="71">
        <v>1</v>
      </c>
      <c r="D532" s="71" t="s">
        <v>60</v>
      </c>
      <c r="E532" s="81">
        <f>'Mano de Obra Sanitaria'!$D$127</f>
        <v>11.98</v>
      </c>
      <c r="F532" s="71">
        <f>SUM(E532*C532)</f>
        <v>11.98</v>
      </c>
    </row>
    <row r="533" spans="1:6" ht="19.2" thickBot="1">
      <c r="A533" s="2"/>
      <c r="B533" s="42"/>
      <c r="C533" s="71"/>
      <c r="D533" s="71"/>
      <c r="E533" s="45" t="s">
        <v>42</v>
      </c>
      <c r="F533" s="46">
        <f>SUM(F530:F532)</f>
        <v>100.155</v>
      </c>
    </row>
    <row r="534" spans="1:6" ht="19.8" thickTop="1" thickBot="1">
      <c r="A534" s="26" t="s">
        <v>755</v>
      </c>
      <c r="B534" s="36" t="s">
        <v>465</v>
      </c>
      <c r="C534" s="37"/>
      <c r="D534" s="37"/>
      <c r="E534" s="38"/>
      <c r="F534" s="39"/>
    </row>
    <row r="535" spans="1:6">
      <c r="A535" s="2"/>
      <c r="B535" s="52" t="s">
        <v>132</v>
      </c>
      <c r="C535" s="71">
        <v>1</v>
      </c>
      <c r="D535" s="71" t="s">
        <v>60</v>
      </c>
      <c r="E535" s="81">
        <f>'Insumos sanitarios'!D60/4</f>
        <v>89.933700000000002</v>
      </c>
      <c r="F535" s="71">
        <f>SUM(E535*C535)</f>
        <v>89.933700000000002</v>
      </c>
    </row>
    <row r="536" spans="1:6">
      <c r="A536" s="2"/>
      <c r="B536" s="52" t="s">
        <v>269</v>
      </c>
      <c r="C536" s="71">
        <v>1</v>
      </c>
      <c r="D536" s="71" t="s">
        <v>60</v>
      </c>
      <c r="E536" s="81">
        <v>10</v>
      </c>
      <c r="F536" s="71">
        <f>SUM(E536*C536)</f>
        <v>10</v>
      </c>
    </row>
    <row r="537" spans="1:6">
      <c r="A537" s="2"/>
      <c r="B537" s="52" t="s">
        <v>133</v>
      </c>
      <c r="C537" s="71">
        <v>1</v>
      </c>
      <c r="D537" s="71" t="s">
        <v>60</v>
      </c>
      <c r="E537" s="81">
        <f>'Mano de Obra Sanitaria'!$D$127</f>
        <v>11.98</v>
      </c>
      <c r="F537" s="71">
        <f>SUM(E537*C537)</f>
        <v>11.98</v>
      </c>
    </row>
    <row r="538" spans="1:6" ht="19.2" thickBot="1">
      <c r="A538" s="2"/>
      <c r="B538" s="42"/>
      <c r="C538" s="71"/>
      <c r="D538" s="71"/>
      <c r="E538" s="45" t="s">
        <v>42</v>
      </c>
      <c r="F538" s="46">
        <f>SUM(F535:F537)</f>
        <v>111.91370000000001</v>
      </c>
    </row>
    <row r="539" spans="1:6" ht="19.8" thickTop="1" thickBot="1">
      <c r="A539" s="2"/>
    </row>
    <row r="540" spans="1:6" ht="19.2" thickBot="1">
      <c r="A540" s="26" t="s">
        <v>756</v>
      </c>
      <c r="B540" s="36" t="s">
        <v>709</v>
      </c>
      <c r="C540" s="37"/>
      <c r="D540" s="37"/>
      <c r="E540" s="38"/>
      <c r="F540" s="39"/>
    </row>
    <row r="541" spans="1:6">
      <c r="A541" s="2"/>
      <c r="B541" s="52" t="s">
        <v>132</v>
      </c>
      <c r="C541" s="71">
        <v>1</v>
      </c>
      <c r="D541" s="71" t="s">
        <v>60</v>
      </c>
      <c r="E541" s="81">
        <f>'Insumos sanitarios'!D63/4</f>
        <v>320.78300000000002</v>
      </c>
      <c r="F541" s="71">
        <f>SUM(E541*C541)</f>
        <v>320.78300000000002</v>
      </c>
    </row>
    <row r="542" spans="1:6">
      <c r="A542" s="2"/>
      <c r="B542" s="52" t="s">
        <v>269</v>
      </c>
      <c r="C542" s="71">
        <v>1</v>
      </c>
      <c r="D542" s="71" t="s">
        <v>60</v>
      </c>
      <c r="E542" s="81">
        <v>10</v>
      </c>
      <c r="F542" s="71">
        <f>SUM(E542*C542)</f>
        <v>10</v>
      </c>
    </row>
    <row r="543" spans="1:6">
      <c r="A543" s="2"/>
      <c r="B543" s="52" t="s">
        <v>133</v>
      </c>
      <c r="C543" s="71">
        <v>1</v>
      </c>
      <c r="D543" s="71" t="s">
        <v>60</v>
      </c>
      <c r="E543" s="81">
        <f>'Mano de Obra Sanitaria'!D128</f>
        <v>14.98</v>
      </c>
      <c r="F543" s="71">
        <f>SUM(E543*C543)</f>
        <v>14.98</v>
      </c>
    </row>
    <row r="544" spans="1:6" ht="19.2" thickBot="1">
      <c r="A544" s="2"/>
      <c r="B544" s="42"/>
      <c r="C544" s="71"/>
      <c r="D544" s="71"/>
      <c r="E544" s="45" t="s">
        <v>42</v>
      </c>
      <c r="F544" s="46">
        <f>SUM(F541:F543)</f>
        <v>345.76300000000003</v>
      </c>
    </row>
    <row r="545" spans="1:7" ht="19.8" thickTop="1" thickBot="1">
      <c r="A545" s="2"/>
    </row>
    <row r="546" spans="1:7" ht="19.2" thickBot="1">
      <c r="A546" s="26" t="s">
        <v>757</v>
      </c>
      <c r="B546" s="36" t="s">
        <v>395</v>
      </c>
      <c r="C546" s="37"/>
      <c r="D546" s="37"/>
      <c r="E546" s="38"/>
      <c r="F546" s="39"/>
    </row>
    <row r="547" spans="1:7">
      <c r="A547" s="2"/>
      <c r="B547" s="40" t="s">
        <v>390</v>
      </c>
      <c r="C547" s="74">
        <v>1</v>
      </c>
      <c r="D547" s="54" t="s">
        <v>58</v>
      </c>
      <c r="E547" s="19">
        <f>'Insumos sanitarios'!D135</f>
        <v>318.59999999999997</v>
      </c>
      <c r="F547" s="75">
        <f>SUM(E547*C547)</f>
        <v>318.59999999999997</v>
      </c>
    </row>
    <row r="548" spans="1:7">
      <c r="A548" s="2"/>
      <c r="B548" s="40" t="s">
        <v>391</v>
      </c>
      <c r="C548" s="74">
        <v>1</v>
      </c>
      <c r="D548" s="54" t="s">
        <v>78</v>
      </c>
      <c r="E548" s="19">
        <f>'Mano de Obra Sanitaria'!D133</f>
        <v>403.81</v>
      </c>
      <c r="F548" s="75">
        <f>SUM(E548*C548)</f>
        <v>403.81</v>
      </c>
    </row>
    <row r="549" spans="1:7" ht="19.2" thickBot="1">
      <c r="A549" s="2"/>
      <c r="B549" s="42"/>
      <c r="C549" s="60"/>
      <c r="D549" s="44"/>
      <c r="E549" s="45" t="s">
        <v>41</v>
      </c>
      <c r="F549" s="46">
        <f>SUM(F546:F548)</f>
        <v>722.41</v>
      </c>
    </row>
    <row r="550" spans="1:7" ht="19.8" thickTop="1" thickBot="1">
      <c r="A550" s="2"/>
    </row>
    <row r="551" spans="1:7" ht="19.2" thickBot="1">
      <c r="A551" s="26" t="s">
        <v>758</v>
      </c>
      <c r="B551" s="36" t="s">
        <v>413</v>
      </c>
      <c r="C551" s="37"/>
      <c r="D551" s="37"/>
      <c r="E551" s="38"/>
      <c r="F551" s="39"/>
      <c r="G551" s="12"/>
    </row>
    <row r="552" spans="1:7">
      <c r="A552" s="2"/>
      <c r="B552" s="40" t="s">
        <v>357</v>
      </c>
      <c r="C552" s="74">
        <v>1</v>
      </c>
      <c r="D552" s="54" t="s">
        <v>58</v>
      </c>
      <c r="E552" s="19">
        <f>'Insumos sanitarios'!$D$140</f>
        <v>613.54100000000005</v>
      </c>
      <c r="F552" s="75">
        <f>SUM(E552*C552)</f>
        <v>613.54100000000005</v>
      </c>
      <c r="G552" s="12"/>
    </row>
    <row r="553" spans="1:7">
      <c r="A553" s="2"/>
      <c r="B553" s="40" t="s">
        <v>358</v>
      </c>
      <c r="C553" s="74">
        <v>1</v>
      </c>
      <c r="D553" s="54" t="s">
        <v>78</v>
      </c>
      <c r="E553" s="19">
        <f>'Mano de Obra Sanitaria'!$D$135</f>
        <v>1111.3</v>
      </c>
      <c r="F553" s="75">
        <f>SUM(E553*C553)</f>
        <v>1111.3</v>
      </c>
      <c r="G553" s="12"/>
    </row>
    <row r="554" spans="1:7" ht="19.2" thickBot="1">
      <c r="A554" s="2"/>
      <c r="B554" s="42"/>
      <c r="C554" s="60"/>
      <c r="D554" s="44"/>
      <c r="E554" s="45" t="s">
        <v>41</v>
      </c>
      <c r="F554" s="46">
        <f>SUM(F551:F553)</f>
        <v>1724.8409999999999</v>
      </c>
      <c r="G554" s="12"/>
    </row>
    <row r="555" spans="1:7" ht="19.8" thickTop="1" thickBot="1">
      <c r="A555" s="2"/>
    </row>
    <row r="556" spans="1:7" ht="19.2" thickBot="1">
      <c r="A556" s="26" t="s">
        <v>759</v>
      </c>
      <c r="B556" s="36" t="s">
        <v>472</v>
      </c>
      <c r="C556" s="37"/>
      <c r="D556" s="37"/>
      <c r="E556" s="38"/>
      <c r="F556" s="39"/>
    </row>
    <row r="557" spans="1:7">
      <c r="A557" s="2"/>
      <c r="B557" s="40" t="s">
        <v>357</v>
      </c>
      <c r="C557" s="74">
        <v>1</v>
      </c>
      <c r="D557" s="54" t="s">
        <v>58</v>
      </c>
      <c r="E557" s="19">
        <f>'Insumos sanitarios'!$D$140</f>
        <v>613.54100000000005</v>
      </c>
      <c r="F557" s="75">
        <f>SUM(E557*C557)</f>
        <v>613.54100000000005</v>
      </c>
    </row>
    <row r="558" spans="1:7">
      <c r="A558" s="2"/>
      <c r="B558" s="40" t="s">
        <v>358</v>
      </c>
      <c r="C558" s="74">
        <v>1</v>
      </c>
      <c r="D558" s="54" t="s">
        <v>78</v>
      </c>
      <c r="E558" s="19">
        <f>'Mano de Obra Sanitaria'!$D$135</f>
        <v>1111.3</v>
      </c>
      <c r="F558" s="75">
        <f>SUM(E558*C558)</f>
        <v>1111.3</v>
      </c>
    </row>
    <row r="559" spans="1:7">
      <c r="A559" s="2"/>
      <c r="B559" s="40" t="s">
        <v>471</v>
      </c>
      <c r="C559" s="74">
        <v>1</v>
      </c>
      <c r="D559" s="54" t="s">
        <v>78</v>
      </c>
      <c r="E559" s="19">
        <f>SUM(F557:F558)*0.5</f>
        <v>862.42049999999995</v>
      </c>
      <c r="F559" s="75">
        <f>SUM(E559*C559)</f>
        <v>862.42049999999995</v>
      </c>
    </row>
    <row r="560" spans="1:7" ht="19.2" thickBot="1">
      <c r="A560" s="2"/>
      <c r="B560" s="42"/>
      <c r="C560" s="60"/>
      <c r="D560" s="44"/>
      <c r="E560" s="45" t="s">
        <v>41</v>
      </c>
      <c r="F560" s="46">
        <f>SUM(F557:F559)</f>
        <v>2587.2614999999996</v>
      </c>
    </row>
    <row r="561" spans="1:6" ht="19.8" thickTop="1" thickBot="1">
      <c r="A561" s="2"/>
      <c r="B561" s="42"/>
      <c r="C561" s="60"/>
      <c r="D561" s="44"/>
      <c r="E561" s="50"/>
      <c r="F561" s="51"/>
    </row>
    <row r="562" spans="1:6" ht="19.2" thickBot="1">
      <c r="A562" s="26" t="s">
        <v>760</v>
      </c>
      <c r="B562" s="36" t="s">
        <v>473</v>
      </c>
      <c r="C562" s="37"/>
      <c r="D562" s="37"/>
      <c r="E562" s="38"/>
      <c r="F562" s="39"/>
    </row>
    <row r="563" spans="1:6">
      <c r="A563" s="2"/>
      <c r="B563" s="40" t="s">
        <v>384</v>
      </c>
      <c r="C563" s="74">
        <v>3</v>
      </c>
      <c r="D563" s="54" t="s">
        <v>58</v>
      </c>
      <c r="E563" s="19">
        <f>'Insumos sanitarios'!D144</f>
        <v>1941.1</v>
      </c>
      <c r="F563" s="75">
        <f>SUM(E563*C563)</f>
        <v>5823.2999999999993</v>
      </c>
    </row>
    <row r="564" spans="1:6">
      <c r="A564" s="2"/>
      <c r="B564" s="40" t="s">
        <v>397</v>
      </c>
      <c r="C564" s="74">
        <v>3</v>
      </c>
      <c r="D564" s="54" t="s">
        <v>78</v>
      </c>
      <c r="E564" s="19">
        <f>'Mano de Obra Sanitaria'!D138</f>
        <v>1479.1403000000005</v>
      </c>
      <c r="F564" s="75">
        <f>SUM(E564*C564)</f>
        <v>4437.420900000001</v>
      </c>
    </row>
    <row r="565" spans="1:6">
      <c r="A565" s="2"/>
      <c r="B565" s="40" t="s">
        <v>267</v>
      </c>
      <c r="C565" s="74">
        <v>3</v>
      </c>
      <c r="D565" s="54" t="s">
        <v>58</v>
      </c>
      <c r="E565" s="19">
        <f>'Insumos sanitarios'!D136</f>
        <v>1823.1</v>
      </c>
      <c r="F565" s="75">
        <f>SUM(E565*C565)</f>
        <v>5469.2999999999993</v>
      </c>
    </row>
    <row r="566" spans="1:6">
      <c r="A566" s="2"/>
      <c r="B566" s="40" t="s">
        <v>359</v>
      </c>
      <c r="C566" s="74">
        <v>3</v>
      </c>
      <c r="D566" s="54" t="s">
        <v>78</v>
      </c>
      <c r="E566" s="19">
        <f>'Mano de Obra Sanitaria'!D137</f>
        <v>1344.6730000000002</v>
      </c>
      <c r="F566" s="75">
        <f>SUM(E566*C566)</f>
        <v>4034.0190000000007</v>
      </c>
    </row>
    <row r="567" spans="1:6">
      <c r="A567" s="2"/>
      <c r="B567" s="40" t="s">
        <v>471</v>
      </c>
      <c r="C567" s="74">
        <v>3</v>
      </c>
      <c r="D567" s="54" t="s">
        <v>78</v>
      </c>
      <c r="E567" s="19">
        <f>SUM(F563:F566)*0.3</f>
        <v>5929.2119699999994</v>
      </c>
      <c r="F567" s="75">
        <f>SUM(E567*C567)</f>
        <v>17787.635909999997</v>
      </c>
    </row>
    <row r="568" spans="1:6" ht="19.2" thickBot="1">
      <c r="A568" s="2"/>
      <c r="B568" s="42"/>
      <c r="C568" s="60"/>
      <c r="D568" s="44"/>
      <c r="E568" s="45" t="s">
        <v>41</v>
      </c>
      <c r="F568" s="46">
        <f>SUM(F563:F567)</f>
        <v>37551.675810000001</v>
      </c>
    </row>
    <row r="569" spans="1:6" ht="19.8" thickTop="1" thickBot="1">
      <c r="A569" s="2"/>
    </row>
    <row r="570" spans="1:6" ht="19.2" thickBot="1">
      <c r="A570" s="26" t="s">
        <v>761</v>
      </c>
      <c r="B570" s="36" t="s">
        <v>524</v>
      </c>
      <c r="C570" s="37"/>
      <c r="D570" s="37"/>
      <c r="E570" s="38"/>
      <c r="F570" s="39"/>
    </row>
    <row r="571" spans="1:6">
      <c r="A571" s="2"/>
      <c r="B571" s="40" t="s">
        <v>412</v>
      </c>
      <c r="C571" s="74">
        <v>1</v>
      </c>
      <c r="D571" s="54" t="s">
        <v>58</v>
      </c>
      <c r="E571" s="19">
        <f>'Insumos sanitarios'!D141</f>
        <v>731.54100000000005</v>
      </c>
      <c r="F571" s="75">
        <f>SUM(E571*C571)</f>
        <v>731.54100000000005</v>
      </c>
    </row>
    <row r="572" spans="1:6">
      <c r="A572" s="2"/>
      <c r="B572" s="40" t="s">
        <v>525</v>
      </c>
      <c r="C572" s="74">
        <v>1</v>
      </c>
      <c r="D572" s="54" t="s">
        <v>78</v>
      </c>
      <c r="E572" s="19">
        <f>'Mano de Obra Sanitaria'!D136</f>
        <v>1222.43</v>
      </c>
      <c r="F572" s="75">
        <f>SUM(E572*C572)</f>
        <v>1222.43</v>
      </c>
    </row>
    <row r="573" spans="1:6" ht="19.2" thickBot="1">
      <c r="A573" s="2"/>
      <c r="B573" s="42"/>
      <c r="C573" s="60"/>
      <c r="D573" s="44"/>
      <c r="E573" s="45" t="s">
        <v>41</v>
      </c>
      <c r="F573" s="46">
        <f>SUM(F570:F572)</f>
        <v>1953.971</v>
      </c>
    </row>
    <row r="574" spans="1:6" ht="19.2" thickTop="1">
      <c r="A574" s="2"/>
    </row>
    <row r="575" spans="1:6" ht="19.2" thickBot="1">
      <c r="A575" s="2"/>
    </row>
    <row r="576" spans="1:6" ht="19.2" thickBot="1">
      <c r="A576" s="26" t="s">
        <v>762</v>
      </c>
      <c r="B576" s="36" t="s">
        <v>443</v>
      </c>
      <c r="C576" s="37"/>
      <c r="D576" s="37"/>
      <c r="E576" s="38"/>
      <c r="F576" s="39"/>
    </row>
    <row r="577" spans="1:6">
      <c r="A577" s="2"/>
      <c r="B577" s="40" t="s">
        <v>267</v>
      </c>
      <c r="C577" s="74">
        <v>1</v>
      </c>
      <c r="D577" s="54" t="s">
        <v>58</v>
      </c>
      <c r="E577" s="19">
        <f>'Insumos sanitarios'!D136</f>
        <v>1823.1</v>
      </c>
      <c r="F577" s="75">
        <f>SUM(E577*C577)</f>
        <v>1823.1</v>
      </c>
    </row>
    <row r="578" spans="1:6">
      <c r="A578" s="2"/>
      <c r="B578" s="40" t="s">
        <v>359</v>
      </c>
      <c r="C578" s="74">
        <v>1</v>
      </c>
      <c r="D578" s="54" t="s">
        <v>78</v>
      </c>
      <c r="E578" s="19">
        <f>'Mano de Obra Sanitaria'!D137</f>
        <v>1344.6730000000002</v>
      </c>
      <c r="F578" s="75">
        <f>SUM(E578*C578)</f>
        <v>1344.6730000000002</v>
      </c>
    </row>
    <row r="579" spans="1:6" ht="19.2" thickBot="1">
      <c r="A579" s="2"/>
      <c r="B579" s="42"/>
      <c r="C579" s="60"/>
      <c r="D579" s="44"/>
      <c r="E579" s="45" t="s">
        <v>41</v>
      </c>
      <c r="F579" s="46">
        <f>SUM(F576:F578)</f>
        <v>3167.7730000000001</v>
      </c>
    </row>
    <row r="580" spans="1:6" ht="19.8" thickTop="1" thickBot="1">
      <c r="A580" s="2"/>
    </row>
    <row r="581" spans="1:6" ht="19.2" thickBot="1">
      <c r="A581" s="26" t="s">
        <v>763</v>
      </c>
      <c r="B581" s="36" t="s">
        <v>396</v>
      </c>
      <c r="C581" s="37"/>
      <c r="D581" s="37"/>
      <c r="E581" s="38"/>
      <c r="F581" s="39"/>
    </row>
    <row r="582" spans="1:6">
      <c r="A582" s="2"/>
      <c r="B582" s="40" t="s">
        <v>384</v>
      </c>
      <c r="C582" s="74">
        <v>1</v>
      </c>
      <c r="D582" s="54" t="s">
        <v>58</v>
      </c>
      <c r="E582" s="19">
        <f>'Insumos sanitarios'!D144</f>
        <v>1941.1</v>
      </c>
      <c r="F582" s="75">
        <f>SUM(E582*C582)</f>
        <v>1941.1</v>
      </c>
    </row>
    <row r="583" spans="1:6">
      <c r="A583" s="2"/>
      <c r="B583" s="40" t="s">
        <v>397</v>
      </c>
      <c r="C583" s="74">
        <v>1</v>
      </c>
      <c r="D583" s="54" t="s">
        <v>78</v>
      </c>
      <c r="E583" s="19">
        <f>'Mano de Obra Sanitaria'!D138</f>
        <v>1479.1403000000005</v>
      </c>
      <c r="F583" s="75">
        <f>SUM(E583*C583)</f>
        <v>1479.1403000000005</v>
      </c>
    </row>
    <row r="584" spans="1:6" ht="19.2" thickBot="1">
      <c r="A584" s="2"/>
      <c r="B584" s="42"/>
      <c r="C584" s="60"/>
      <c r="D584" s="44"/>
      <c r="E584" s="45" t="s">
        <v>41</v>
      </c>
      <c r="F584" s="46">
        <f>SUM(F581:F583)</f>
        <v>3420.2403000000004</v>
      </c>
    </row>
    <row r="585" spans="1:6" ht="19.8" thickTop="1" thickBot="1">
      <c r="A585" s="2"/>
    </row>
    <row r="586" spans="1:6" ht="19.2" thickBot="1">
      <c r="A586" s="26" t="s">
        <v>764</v>
      </c>
      <c r="B586" s="36" t="s">
        <v>408</v>
      </c>
      <c r="C586" s="37"/>
      <c r="D586" s="37"/>
      <c r="E586" s="38"/>
      <c r="F586" s="39"/>
    </row>
    <row r="587" spans="1:6">
      <c r="A587" s="2"/>
      <c r="B587" s="40" t="s">
        <v>266</v>
      </c>
      <c r="C587" s="74">
        <v>1</v>
      </c>
      <c r="D587" s="54" t="s">
        <v>58</v>
      </c>
      <c r="E587" s="19">
        <f>'Insumos sanitarios'!D138</f>
        <v>371.66460000000001</v>
      </c>
      <c r="F587" s="75">
        <f>SUM(E587*C587)</f>
        <v>371.66460000000001</v>
      </c>
    </row>
    <row r="588" spans="1:6">
      <c r="A588" s="2"/>
      <c r="B588" s="40" t="s">
        <v>265</v>
      </c>
      <c r="C588" s="74">
        <v>1</v>
      </c>
      <c r="D588" s="54" t="s">
        <v>78</v>
      </c>
      <c r="E588" s="19">
        <f>'Mano de Obra Sanitaria'!D134</f>
        <v>607.36</v>
      </c>
      <c r="F588" s="75">
        <f>SUM(E588*C588)</f>
        <v>607.36</v>
      </c>
    </row>
    <row r="589" spans="1:6" ht="19.2" thickBot="1">
      <c r="A589" s="2"/>
      <c r="B589" s="42"/>
      <c r="C589" s="60"/>
      <c r="D589" s="44"/>
      <c r="E589" s="45" t="s">
        <v>41</v>
      </c>
      <c r="F589" s="46">
        <f>SUM(F586:F588)</f>
        <v>979.02459999999996</v>
      </c>
    </row>
    <row r="590" spans="1:6" ht="19.2" thickTop="1">
      <c r="A590" s="2"/>
    </row>
    <row r="591" spans="1:6" ht="19.2" thickBot="1">
      <c r="A591" s="2"/>
    </row>
    <row r="592" spans="1:6" ht="65.400000000000006" thickBot="1">
      <c r="A592" s="26" t="s">
        <v>765</v>
      </c>
      <c r="B592" s="66" t="s">
        <v>474</v>
      </c>
      <c r="C592" s="37"/>
      <c r="D592" s="37"/>
      <c r="E592" s="38"/>
      <c r="F592" s="39"/>
    </row>
    <row r="593" spans="1:6" ht="64.8">
      <c r="A593" s="2"/>
      <c r="B593" s="73" t="s">
        <v>475</v>
      </c>
      <c r="C593" s="61">
        <v>1</v>
      </c>
      <c r="D593" s="47" t="s">
        <v>58</v>
      </c>
      <c r="E593" s="81">
        <v>725</v>
      </c>
      <c r="F593" s="20">
        <f t="shared" ref="F593:F595" si="18">+E593*C593</f>
        <v>725</v>
      </c>
    </row>
    <row r="594" spans="1:6" ht="32.4">
      <c r="A594" s="2"/>
      <c r="B594" s="73" t="s">
        <v>476</v>
      </c>
      <c r="C594" s="61">
        <v>1</v>
      </c>
      <c r="D594" s="47" t="s">
        <v>136</v>
      </c>
      <c r="E594" s="81">
        <v>300</v>
      </c>
      <c r="F594" s="20">
        <f t="shared" si="18"/>
        <v>300</v>
      </c>
    </row>
    <row r="595" spans="1:6">
      <c r="A595" s="2"/>
      <c r="B595" s="40" t="s">
        <v>477</v>
      </c>
      <c r="C595" s="61">
        <v>1</v>
      </c>
      <c r="D595" s="47" t="s">
        <v>58</v>
      </c>
      <c r="E595" s="81">
        <v>250</v>
      </c>
      <c r="F595" s="20">
        <f t="shared" si="18"/>
        <v>250</v>
      </c>
    </row>
    <row r="596" spans="1:6" ht="19.2" thickBot="1">
      <c r="A596" s="2"/>
      <c r="B596" s="42"/>
      <c r="C596" s="43"/>
      <c r="D596" s="44"/>
      <c r="E596" s="45" t="s">
        <v>41</v>
      </c>
      <c r="F596" s="46">
        <f>SUM(F593:F595)</f>
        <v>1275</v>
      </c>
    </row>
    <row r="597" spans="1:6" ht="19.8" thickTop="1" thickBot="1">
      <c r="A597" s="2"/>
    </row>
    <row r="598" spans="1:6" ht="19.2" thickBot="1">
      <c r="A598" s="26" t="s">
        <v>766</v>
      </c>
      <c r="B598" s="66" t="s">
        <v>478</v>
      </c>
      <c r="C598" s="37"/>
      <c r="D598" s="37"/>
      <c r="E598" s="38"/>
      <c r="F598" s="39"/>
    </row>
    <row r="599" spans="1:6">
      <c r="A599" s="2"/>
      <c r="B599" s="73" t="s">
        <v>478</v>
      </c>
      <c r="C599" s="61">
        <v>1</v>
      </c>
      <c r="D599" s="47" t="s">
        <v>58</v>
      </c>
      <c r="E599" s="81">
        <f>'Insumos sanitarios'!D167</f>
        <v>5500.0036</v>
      </c>
      <c r="F599" s="20">
        <f t="shared" ref="F599:F601" si="19">+E599*C599</f>
        <v>5500.0036</v>
      </c>
    </row>
    <row r="600" spans="1:6" ht="32.4">
      <c r="A600" s="2"/>
      <c r="B600" s="73" t="s">
        <v>476</v>
      </c>
      <c r="C600" s="61">
        <v>1</v>
      </c>
      <c r="D600" s="47" t="s">
        <v>136</v>
      </c>
      <c r="E600" s="81">
        <v>300</v>
      </c>
      <c r="F600" s="20">
        <f t="shared" si="19"/>
        <v>300</v>
      </c>
    </row>
    <row r="601" spans="1:6">
      <c r="A601" s="2"/>
      <c r="B601" s="40" t="s">
        <v>477</v>
      </c>
      <c r="C601" s="61">
        <v>1</v>
      </c>
      <c r="D601" s="47" t="s">
        <v>58</v>
      </c>
      <c r="E601" s="81">
        <v>350</v>
      </c>
      <c r="F601" s="20">
        <f t="shared" si="19"/>
        <v>350</v>
      </c>
    </row>
    <row r="602" spans="1:6" ht="19.2" thickBot="1">
      <c r="A602" s="2"/>
      <c r="B602" s="42"/>
      <c r="C602" s="43"/>
      <c r="D602" s="44"/>
      <c r="E602" s="45" t="s">
        <v>41</v>
      </c>
      <c r="F602" s="46">
        <f>SUM(F599:F601)</f>
        <v>6150.0036</v>
      </c>
    </row>
    <row r="603" spans="1:6" ht="19.2" thickTop="1">
      <c r="A603" s="2"/>
    </row>
    <row r="604" spans="1:6" ht="19.2" thickBot="1">
      <c r="A604" s="2"/>
    </row>
    <row r="605" spans="1:6" ht="19.2" thickBot="1">
      <c r="A605" s="26" t="s">
        <v>767</v>
      </c>
      <c r="B605" s="36" t="s">
        <v>360</v>
      </c>
      <c r="C605" s="37"/>
      <c r="D605" s="37"/>
      <c r="E605" s="38"/>
      <c r="F605" s="39"/>
    </row>
    <row r="606" spans="1:6">
      <c r="A606" s="2"/>
      <c r="B606" s="40" t="s">
        <v>361</v>
      </c>
      <c r="C606" s="74">
        <v>1</v>
      </c>
      <c r="D606" s="54" t="s">
        <v>58</v>
      </c>
      <c r="E606" s="19">
        <f>'Insumos sanitarios'!D171</f>
        <v>242.30079999999998</v>
      </c>
      <c r="F606" s="75">
        <f>SUM(E606*C606)</f>
        <v>242.30079999999998</v>
      </c>
    </row>
    <row r="607" spans="1:6">
      <c r="A607" s="2"/>
      <c r="B607" s="40" t="s">
        <v>362</v>
      </c>
      <c r="C607" s="74">
        <v>1</v>
      </c>
      <c r="D607" s="54" t="s">
        <v>78</v>
      </c>
      <c r="E607" s="19">
        <v>450</v>
      </c>
      <c r="F607" s="75">
        <f>SUM(E607*C607)</f>
        <v>450</v>
      </c>
    </row>
    <row r="608" spans="1:6" ht="19.2" thickBot="1">
      <c r="A608" s="2"/>
      <c r="B608" s="42"/>
      <c r="C608" s="60"/>
      <c r="D608" s="44"/>
      <c r="E608" s="45" t="s">
        <v>41</v>
      </c>
      <c r="F608" s="46">
        <f>SUM(F605:F607)</f>
        <v>692.30079999999998</v>
      </c>
    </row>
    <row r="609" spans="1:6" ht="19.2" thickTop="1">
      <c r="A609" s="2"/>
    </row>
    <row r="610" spans="1:6" ht="19.2" thickBot="1">
      <c r="A610" s="2"/>
    </row>
    <row r="611" spans="1:6" ht="19.2" thickBot="1">
      <c r="A611" s="26" t="s">
        <v>768</v>
      </c>
      <c r="B611" s="36" t="s">
        <v>364</v>
      </c>
      <c r="C611" s="37">
        <v>1</v>
      </c>
      <c r="D611" s="37" t="s">
        <v>58</v>
      </c>
      <c r="E611" s="38"/>
      <c r="F611" s="39"/>
    </row>
    <row r="612" spans="1:6">
      <c r="A612" s="2"/>
      <c r="B612" s="52" t="s">
        <v>365</v>
      </c>
      <c r="C612" s="68">
        <v>1</v>
      </c>
      <c r="D612" s="18" t="s">
        <v>58</v>
      </c>
      <c r="E612" s="19">
        <f>'Insumos sanitarios'!D39</f>
        <v>30.159999999999997</v>
      </c>
      <c r="F612" s="71">
        <f>SUM(E612*C612)</f>
        <v>30.159999999999997</v>
      </c>
    </row>
    <row r="613" spans="1:6">
      <c r="A613" s="2"/>
      <c r="B613" s="52" t="s">
        <v>366</v>
      </c>
      <c r="C613" s="68">
        <v>1</v>
      </c>
      <c r="D613" s="18" t="s">
        <v>58</v>
      </c>
      <c r="E613" s="19">
        <v>29.22</v>
      </c>
      <c r="F613" s="71">
        <f>SUM(E613*C613)</f>
        <v>29.22</v>
      </c>
    </row>
    <row r="614" spans="1:6">
      <c r="A614" s="2"/>
      <c r="B614" s="52" t="s">
        <v>20</v>
      </c>
      <c r="C614" s="68">
        <v>5.0000000000000001E-3</v>
      </c>
      <c r="D614" s="18" t="s">
        <v>67</v>
      </c>
      <c r="E614" s="19">
        <f>'Insumos sanitarios'!$D$148</f>
        <v>1799</v>
      </c>
      <c r="F614" s="71">
        <f>SUM(E614*C614)</f>
        <v>8.995000000000001</v>
      </c>
    </row>
    <row r="615" spans="1:6">
      <c r="A615" s="2"/>
      <c r="B615" s="52" t="s">
        <v>589</v>
      </c>
      <c r="C615" s="68">
        <v>1</v>
      </c>
      <c r="D615" s="18" t="s">
        <v>78</v>
      </c>
      <c r="E615" s="19">
        <f>'Mano de Obra Sanitaria'!D88</f>
        <v>148.44999999999999</v>
      </c>
      <c r="F615" s="71">
        <f>SUM(E615*C615)</f>
        <v>148.44999999999999</v>
      </c>
    </row>
    <row r="616" spans="1:6" ht="19.2" thickBot="1">
      <c r="A616" s="2"/>
      <c r="B616" s="42"/>
      <c r="C616" s="71"/>
      <c r="D616" s="71"/>
      <c r="E616" s="45" t="s">
        <v>41</v>
      </c>
      <c r="F616" s="46">
        <f>SUM(F612:F615)</f>
        <v>216.82499999999999</v>
      </c>
    </row>
    <row r="617" spans="1:6" ht="19.2" thickTop="1">
      <c r="A617" s="2"/>
    </row>
    <row r="618" spans="1:6">
      <c r="A618" s="2"/>
    </row>
    <row r="619" spans="1:6">
      <c r="A619" s="2"/>
    </row>
    <row r="620" spans="1:6">
      <c r="A620" s="2"/>
    </row>
    <row r="621" spans="1:6">
      <c r="A621" s="2"/>
    </row>
    <row r="622" spans="1:6">
      <c r="A622" s="2"/>
    </row>
    <row r="623" spans="1:6">
      <c r="A623" s="2"/>
    </row>
    <row r="624" spans="1:6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</sheetData>
  <protectedRanges>
    <protectedRange sqref="B605" name="Rango2"/>
  </protectedRanges>
  <autoFilter ref="A6:F7" xr:uid="{00000000-0009-0000-0000-000004000000}"/>
  <mergeCells count="1">
    <mergeCell ref="A2:F2"/>
  </mergeCells>
  <printOptions horizontalCentered="1"/>
  <pageMargins left="0.23622047244094491" right="0.23622047244094491" top="0.9055118110236221" bottom="0.70866141732283472" header="0" footer="0.7086614173228347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1"/>
  <sheetViews>
    <sheetView view="pageBreakPreview" topLeftCell="A204" zoomScale="85" zoomScaleNormal="100" zoomScaleSheetLayoutView="85" workbookViewId="0">
      <pane ySplit="2400" topLeftCell="A222" activePane="bottomLeft"/>
      <selection activeCell="B231" sqref="B231"/>
      <selection pane="bottomLeft" activeCell="B241" sqref="B241"/>
    </sheetView>
  </sheetViews>
  <sheetFormatPr defaultColWidth="11.44140625" defaultRowHeight="14.4"/>
  <cols>
    <col min="1" max="1" width="8.5546875" style="177" customWidth="1"/>
    <col min="2" max="2" width="66.5546875" style="177" customWidth="1"/>
    <col min="3" max="3" width="11.44140625" style="177" customWidth="1"/>
    <col min="4" max="4" width="0.109375" style="177" customWidth="1"/>
    <col min="5" max="5" width="27" style="177" customWidth="1"/>
    <col min="6" max="16384" width="11.44140625" style="177"/>
  </cols>
  <sheetData>
    <row r="1" spans="1:10" customFormat="1" ht="57.75" customHeight="1" thickBot="1">
      <c r="A1" s="253"/>
      <c r="B1" s="293"/>
      <c r="C1" s="294"/>
      <c r="D1" s="294"/>
      <c r="E1" s="295"/>
      <c r="F1" s="237"/>
      <c r="G1" s="237"/>
      <c r="H1" s="237"/>
      <c r="I1" s="237"/>
      <c r="J1" s="237"/>
    </row>
    <row r="2" spans="1:10" s="5" customFormat="1" ht="20.25" customHeight="1" thickBot="1">
      <c r="A2" s="450" t="s">
        <v>560</v>
      </c>
      <c r="B2" s="451"/>
      <c r="C2" s="452"/>
      <c r="D2" s="452"/>
      <c r="E2" s="454"/>
    </row>
    <row r="3" spans="1:10" s="5" customFormat="1" ht="20.25" customHeight="1" thickBot="1">
      <c r="A3" s="92"/>
      <c r="B3" s="181" t="s">
        <v>769</v>
      </c>
      <c r="C3" s="136"/>
      <c r="D3" s="182"/>
      <c r="E3" s="183"/>
    </row>
    <row r="4" spans="1:10" s="5" customFormat="1" ht="33.75" customHeight="1" thickBot="1">
      <c r="A4" s="128" t="s">
        <v>563</v>
      </c>
      <c r="B4" s="128" t="s">
        <v>108</v>
      </c>
      <c r="C4" s="133" t="s">
        <v>58</v>
      </c>
      <c r="D4" s="151" t="s">
        <v>1009</v>
      </c>
      <c r="E4" s="151" t="s">
        <v>770</v>
      </c>
    </row>
    <row r="5" spans="1:10" s="5" customFormat="1" ht="20.25" customHeight="1" thickBot="1">
      <c r="A5" s="445" t="s">
        <v>48</v>
      </c>
      <c r="B5" s="446"/>
      <c r="C5" s="447"/>
      <c r="D5" s="129"/>
      <c r="E5" s="129"/>
    </row>
    <row r="6" spans="1:10" s="5" customFormat="1" ht="25.5" customHeight="1">
      <c r="A6" s="104">
        <v>1</v>
      </c>
      <c r="B6" s="85" t="s">
        <v>1008</v>
      </c>
      <c r="C6" s="178" t="s">
        <v>47</v>
      </c>
      <c r="D6" s="99">
        <v>1.1599999999999999</v>
      </c>
      <c r="E6" s="99">
        <v>17.399999999999999</v>
      </c>
    </row>
    <row r="7" spans="1:10" s="5" customFormat="1" ht="25.5" customHeight="1">
      <c r="A7" s="104">
        <f>A6+1</f>
        <v>2</v>
      </c>
      <c r="B7" s="85" t="s">
        <v>840</v>
      </c>
      <c r="C7" s="178" t="s">
        <v>47</v>
      </c>
      <c r="D7" s="99">
        <v>1.1599999999999999</v>
      </c>
      <c r="E7" s="99">
        <v>19.72</v>
      </c>
    </row>
    <row r="8" spans="1:10" s="5" customFormat="1" ht="25.5" customHeight="1">
      <c r="A8" s="104">
        <f t="shared" ref="A8:A74" si="0">A7+1</f>
        <v>3</v>
      </c>
      <c r="B8" s="85" t="s">
        <v>1007</v>
      </c>
      <c r="C8" s="178" t="s">
        <v>47</v>
      </c>
      <c r="D8" s="99">
        <v>1.1599999999999999</v>
      </c>
      <c r="E8" s="99">
        <v>21.459999999999997</v>
      </c>
    </row>
    <row r="9" spans="1:10" s="5" customFormat="1" ht="25.5" customHeight="1">
      <c r="A9" s="104">
        <f t="shared" si="0"/>
        <v>4</v>
      </c>
      <c r="B9" s="85" t="s">
        <v>1006</v>
      </c>
      <c r="C9" s="178" t="s">
        <v>47</v>
      </c>
      <c r="D9" s="99">
        <v>1.1599999999999999</v>
      </c>
      <c r="E9" s="99">
        <v>25.311199999999999</v>
      </c>
    </row>
    <row r="10" spans="1:10" s="5" customFormat="1" ht="25.5" customHeight="1">
      <c r="A10" s="104">
        <f t="shared" si="0"/>
        <v>5</v>
      </c>
      <c r="B10" s="85" t="s">
        <v>1005</v>
      </c>
      <c r="C10" s="178" t="s">
        <v>47</v>
      </c>
      <c r="D10" s="99">
        <v>1.1599999999999999</v>
      </c>
      <c r="E10" s="99">
        <v>33.558799999999998</v>
      </c>
    </row>
    <row r="11" spans="1:10" s="5" customFormat="1" ht="25.5" customHeight="1">
      <c r="A11" s="104">
        <f t="shared" si="0"/>
        <v>6</v>
      </c>
      <c r="B11" s="85" t="s">
        <v>1004</v>
      </c>
      <c r="C11" s="178" t="s">
        <v>47</v>
      </c>
      <c r="D11" s="99">
        <v>1.1599999999999999</v>
      </c>
      <c r="E11" s="99">
        <v>44.08</v>
      </c>
    </row>
    <row r="12" spans="1:10" s="5" customFormat="1" ht="25.5" customHeight="1">
      <c r="A12" s="104">
        <f t="shared" si="0"/>
        <v>7</v>
      </c>
      <c r="B12" s="85" t="s">
        <v>1003</v>
      </c>
      <c r="C12" s="178" t="s">
        <v>47</v>
      </c>
      <c r="D12" s="99">
        <v>1.1599999999999999</v>
      </c>
      <c r="E12" s="99">
        <v>68.44</v>
      </c>
    </row>
    <row r="13" spans="1:10" s="5" customFormat="1" ht="25.5" customHeight="1">
      <c r="A13" s="104">
        <f t="shared" si="0"/>
        <v>8</v>
      </c>
      <c r="B13" s="85" t="s">
        <v>1002</v>
      </c>
      <c r="C13" s="178" t="s">
        <v>47</v>
      </c>
      <c r="D13" s="99">
        <v>1.1599999999999999</v>
      </c>
      <c r="E13" s="99">
        <v>52.199999999999996</v>
      </c>
    </row>
    <row r="14" spans="1:10" s="5" customFormat="1" ht="25.5" customHeight="1">
      <c r="A14" s="104">
        <f t="shared" si="0"/>
        <v>9</v>
      </c>
      <c r="B14" s="85" t="s">
        <v>1001</v>
      </c>
      <c r="C14" s="178" t="s">
        <v>47</v>
      </c>
      <c r="D14" s="99">
        <v>1.1599999999999999</v>
      </c>
      <c r="E14" s="99">
        <v>87</v>
      </c>
    </row>
    <row r="15" spans="1:10" s="5" customFormat="1" ht="25.5" customHeight="1">
      <c r="A15" s="104">
        <f t="shared" si="0"/>
        <v>10</v>
      </c>
      <c r="B15" s="85" t="s">
        <v>1000</v>
      </c>
      <c r="C15" s="178" t="s">
        <v>47</v>
      </c>
      <c r="D15" s="99">
        <v>1.1599999999999999</v>
      </c>
      <c r="E15" s="99">
        <v>156.6</v>
      </c>
    </row>
    <row r="16" spans="1:10" s="5" customFormat="1" ht="25.5" customHeight="1">
      <c r="A16" s="104">
        <f t="shared" si="0"/>
        <v>11</v>
      </c>
      <c r="B16" s="85" t="s">
        <v>999</v>
      </c>
      <c r="C16" s="178" t="s">
        <v>47</v>
      </c>
      <c r="D16" s="99">
        <v>1.1599999999999999</v>
      </c>
      <c r="E16" s="99">
        <v>60.319999999999993</v>
      </c>
    </row>
    <row r="17" spans="1:5" s="5" customFormat="1" ht="25.5" customHeight="1">
      <c r="A17" s="104">
        <f t="shared" si="0"/>
        <v>12</v>
      </c>
      <c r="B17" s="85" t="s">
        <v>998</v>
      </c>
      <c r="C17" s="178" t="s">
        <v>47</v>
      </c>
      <c r="D17" s="99">
        <v>1.1599999999999999</v>
      </c>
      <c r="E17" s="99">
        <v>110.19999999999999</v>
      </c>
    </row>
    <row r="18" spans="1:5" s="5" customFormat="1" ht="25.5" customHeight="1">
      <c r="A18" s="104">
        <f t="shared" si="0"/>
        <v>13</v>
      </c>
      <c r="B18" s="85" t="s">
        <v>997</v>
      </c>
      <c r="C18" s="178" t="s">
        <v>47</v>
      </c>
      <c r="D18" s="99">
        <v>1.1599999999999999</v>
      </c>
      <c r="E18" s="99">
        <v>174</v>
      </c>
    </row>
    <row r="19" spans="1:5" s="5" customFormat="1" ht="25.5" customHeight="1">
      <c r="A19" s="104">
        <f t="shared" si="0"/>
        <v>14</v>
      </c>
      <c r="B19" s="85" t="s">
        <v>796</v>
      </c>
      <c r="C19" s="178" t="s">
        <v>47</v>
      </c>
      <c r="D19" s="99">
        <v>1.1599999999999999</v>
      </c>
      <c r="E19" s="99">
        <v>3.5611999999999995</v>
      </c>
    </row>
    <row r="20" spans="1:5" s="5" customFormat="1" ht="25.5" customHeight="1">
      <c r="A20" s="104">
        <f t="shared" si="0"/>
        <v>15</v>
      </c>
      <c r="B20" s="85" t="s">
        <v>802</v>
      </c>
      <c r="C20" s="178" t="s">
        <v>47</v>
      </c>
      <c r="D20" s="99">
        <v>1.1599999999999999</v>
      </c>
      <c r="E20" s="99">
        <v>6.0667999999999997</v>
      </c>
    </row>
    <row r="21" spans="1:5" s="5" customFormat="1" ht="25.5" customHeight="1">
      <c r="A21" s="104">
        <f t="shared" si="0"/>
        <v>16</v>
      </c>
      <c r="B21" s="85" t="s">
        <v>797</v>
      </c>
      <c r="C21" s="178" t="s">
        <v>47</v>
      </c>
      <c r="D21" s="99">
        <v>1.1599999999999999</v>
      </c>
      <c r="E21" s="99">
        <v>8.3171999999999997</v>
      </c>
    </row>
    <row r="22" spans="1:5" s="5" customFormat="1" ht="25.5" customHeight="1">
      <c r="A22" s="104">
        <f t="shared" si="0"/>
        <v>17</v>
      </c>
      <c r="B22" s="85" t="s">
        <v>996</v>
      </c>
      <c r="C22" s="178" t="s">
        <v>47</v>
      </c>
      <c r="D22" s="99">
        <v>1.1599999999999999</v>
      </c>
      <c r="E22" s="99">
        <v>13.919999999999998</v>
      </c>
    </row>
    <row r="23" spans="1:5" s="5" customFormat="1" ht="25.5" customHeight="1">
      <c r="A23" s="104">
        <f t="shared" si="0"/>
        <v>18</v>
      </c>
      <c r="B23" s="85" t="s">
        <v>995</v>
      </c>
      <c r="C23" s="178" t="s">
        <v>47</v>
      </c>
      <c r="D23" s="99">
        <v>1.1599999999999999</v>
      </c>
      <c r="E23" s="99">
        <v>22.04</v>
      </c>
    </row>
    <row r="24" spans="1:5" s="5" customFormat="1" ht="25.5" customHeight="1">
      <c r="A24" s="104">
        <f t="shared" si="0"/>
        <v>19</v>
      </c>
      <c r="B24" s="85" t="s">
        <v>381</v>
      </c>
      <c r="C24" s="178" t="s">
        <v>47</v>
      </c>
      <c r="D24" s="99"/>
      <c r="E24" s="99">
        <f>77.29*1.18</f>
        <v>91.202200000000005</v>
      </c>
    </row>
    <row r="25" spans="1:5" s="5" customFormat="1" ht="25.5" customHeight="1">
      <c r="A25" s="104">
        <f t="shared" si="0"/>
        <v>20</v>
      </c>
      <c r="B25" s="85" t="s">
        <v>559</v>
      </c>
      <c r="C25" s="178" t="s">
        <v>47</v>
      </c>
      <c r="D25" s="99"/>
      <c r="E25" s="99">
        <f>30.8*1.18</f>
        <v>36.344000000000001</v>
      </c>
    </row>
    <row r="26" spans="1:5" s="5" customFormat="1" ht="25.5" customHeight="1">
      <c r="A26" s="104">
        <f t="shared" si="0"/>
        <v>21</v>
      </c>
      <c r="B26" s="85" t="s">
        <v>376</v>
      </c>
      <c r="C26" s="178" t="s">
        <v>47</v>
      </c>
      <c r="D26" s="99"/>
      <c r="E26" s="99">
        <f>19.56*1.18</f>
        <v>23.080799999999996</v>
      </c>
    </row>
    <row r="27" spans="1:5" s="5" customFormat="1" ht="25.5" customHeight="1">
      <c r="A27" s="104">
        <f t="shared" si="0"/>
        <v>22</v>
      </c>
      <c r="B27" s="85" t="s">
        <v>795</v>
      </c>
      <c r="C27" s="178" t="s">
        <v>58</v>
      </c>
      <c r="D27" s="99">
        <v>1.1599999999999999</v>
      </c>
      <c r="E27" s="99">
        <v>243.6</v>
      </c>
    </row>
    <row r="28" spans="1:5" s="5" customFormat="1" ht="25.5" customHeight="1">
      <c r="A28" s="104">
        <f t="shared" si="0"/>
        <v>23</v>
      </c>
      <c r="B28" s="85" t="s">
        <v>967</v>
      </c>
      <c r="C28" s="178" t="s">
        <v>58</v>
      </c>
      <c r="D28" s="99">
        <v>1.1599999999999999</v>
      </c>
      <c r="E28" s="99">
        <v>562.59999999999991</v>
      </c>
    </row>
    <row r="29" spans="1:5" s="5" customFormat="1" ht="25.5" customHeight="1">
      <c r="A29" s="104">
        <f t="shared" si="0"/>
        <v>24</v>
      </c>
      <c r="B29" s="85" t="s">
        <v>827</v>
      </c>
      <c r="C29" s="178" t="s">
        <v>58</v>
      </c>
      <c r="D29" s="99">
        <v>1.1599999999999999</v>
      </c>
      <c r="E29" s="99">
        <v>40.599999999999994</v>
      </c>
    </row>
    <row r="30" spans="1:5" s="5" customFormat="1" ht="25.5" customHeight="1">
      <c r="A30" s="104">
        <f t="shared" si="0"/>
        <v>25</v>
      </c>
      <c r="B30" s="85" t="s">
        <v>994</v>
      </c>
      <c r="C30" s="178" t="s">
        <v>58</v>
      </c>
      <c r="D30" s="99">
        <v>1.1599999999999999</v>
      </c>
      <c r="E30" s="99">
        <v>42.919999999999995</v>
      </c>
    </row>
    <row r="31" spans="1:5" s="5" customFormat="1" ht="25.5" customHeight="1">
      <c r="A31" s="104">
        <f t="shared" si="0"/>
        <v>26</v>
      </c>
      <c r="B31" s="85" t="s">
        <v>842</v>
      </c>
      <c r="C31" s="178" t="s">
        <v>58</v>
      </c>
      <c r="D31" s="99">
        <v>1.1599999999999999</v>
      </c>
      <c r="E31" s="99">
        <v>20.88</v>
      </c>
    </row>
    <row r="32" spans="1:5" s="5" customFormat="1" ht="25.5" customHeight="1">
      <c r="A32" s="104">
        <f t="shared" si="0"/>
        <v>27</v>
      </c>
      <c r="B32" s="85" t="s">
        <v>993</v>
      </c>
      <c r="C32" s="178" t="s">
        <v>58</v>
      </c>
      <c r="D32" s="99">
        <v>1.1599999999999999</v>
      </c>
      <c r="E32" s="99">
        <v>20.88</v>
      </c>
    </row>
    <row r="33" spans="1:5" s="5" customFormat="1" ht="25.5" customHeight="1">
      <c r="A33" s="104">
        <f t="shared" si="0"/>
        <v>28</v>
      </c>
      <c r="B33" s="85" t="s">
        <v>841</v>
      </c>
      <c r="C33" s="178" t="s">
        <v>58</v>
      </c>
      <c r="D33" s="99">
        <v>1.1599999999999999</v>
      </c>
      <c r="E33" s="99">
        <v>17.399999999999999</v>
      </c>
    </row>
    <row r="34" spans="1:5" s="5" customFormat="1" ht="25.5" customHeight="1">
      <c r="A34" s="104">
        <f t="shared" si="0"/>
        <v>29</v>
      </c>
      <c r="B34" s="85" t="s">
        <v>992</v>
      </c>
      <c r="C34" s="178" t="s">
        <v>58</v>
      </c>
      <c r="D34" s="99">
        <v>1.1599999999999999</v>
      </c>
      <c r="E34" s="99">
        <v>17.399999999999999</v>
      </c>
    </row>
    <row r="35" spans="1:5" s="5" customFormat="1" ht="25.5" customHeight="1">
      <c r="A35" s="104">
        <f t="shared" si="0"/>
        <v>30</v>
      </c>
      <c r="B35" s="85" t="s">
        <v>772</v>
      </c>
      <c r="C35" s="178" t="s">
        <v>58</v>
      </c>
      <c r="D35" s="99">
        <v>1.1599999999999999</v>
      </c>
      <c r="E35" s="99">
        <v>33.64</v>
      </c>
    </row>
    <row r="36" spans="1:5" s="5" customFormat="1" ht="25.5" customHeight="1">
      <c r="A36" s="104">
        <f t="shared" si="0"/>
        <v>31</v>
      </c>
      <c r="B36" s="85" t="s">
        <v>789</v>
      </c>
      <c r="C36" s="178" t="s">
        <v>58</v>
      </c>
      <c r="D36" s="99">
        <v>1.1599999999999999</v>
      </c>
      <c r="E36" s="99">
        <v>42.919999999999995</v>
      </c>
    </row>
    <row r="37" spans="1:5" s="5" customFormat="1" ht="25.5" customHeight="1">
      <c r="A37" s="104">
        <f t="shared" si="0"/>
        <v>32</v>
      </c>
      <c r="B37" s="85" t="s">
        <v>781</v>
      </c>
      <c r="C37" s="178" t="s">
        <v>58</v>
      </c>
      <c r="D37" s="99">
        <v>1.1599999999999999</v>
      </c>
      <c r="E37" s="99">
        <v>5.8</v>
      </c>
    </row>
    <row r="38" spans="1:5" s="5" customFormat="1" ht="25.5" customHeight="1">
      <c r="A38" s="104">
        <f t="shared" si="0"/>
        <v>33</v>
      </c>
      <c r="B38" s="85" t="s">
        <v>991</v>
      </c>
      <c r="C38" s="178" t="s">
        <v>58</v>
      </c>
      <c r="D38" s="99">
        <v>1.1599999999999999</v>
      </c>
      <c r="E38" s="99">
        <v>17.399999999999999</v>
      </c>
    </row>
    <row r="39" spans="1:5" s="5" customFormat="1" ht="25.5" customHeight="1">
      <c r="A39" s="104">
        <f t="shared" si="0"/>
        <v>34</v>
      </c>
      <c r="B39" s="85" t="s">
        <v>800</v>
      </c>
      <c r="C39" s="178" t="s">
        <v>58</v>
      </c>
      <c r="D39" s="99">
        <v>1.1599999999999999</v>
      </c>
      <c r="E39" s="99">
        <v>57.999999999999993</v>
      </c>
    </row>
    <row r="40" spans="1:5" s="5" customFormat="1" ht="25.5" customHeight="1">
      <c r="A40" s="104">
        <f t="shared" si="0"/>
        <v>35</v>
      </c>
      <c r="B40" s="85" t="s">
        <v>777</v>
      </c>
      <c r="C40" s="178" t="s">
        <v>58</v>
      </c>
      <c r="D40" s="99">
        <v>1.1599999999999999</v>
      </c>
      <c r="E40" s="99">
        <v>77.72</v>
      </c>
    </row>
    <row r="41" spans="1:5" s="5" customFormat="1" ht="25.5" customHeight="1">
      <c r="A41" s="104">
        <f t="shared" si="0"/>
        <v>36</v>
      </c>
      <c r="B41" s="85" t="s">
        <v>990</v>
      </c>
      <c r="C41" s="178" t="s">
        <v>58</v>
      </c>
      <c r="D41" s="99">
        <v>1.1599999999999999</v>
      </c>
      <c r="E41" s="99">
        <v>146.16</v>
      </c>
    </row>
    <row r="42" spans="1:5" s="5" customFormat="1" ht="25.5" customHeight="1">
      <c r="A42" s="104">
        <f t="shared" si="0"/>
        <v>37</v>
      </c>
      <c r="B42" s="85" t="s">
        <v>989</v>
      </c>
      <c r="C42" s="178" t="s">
        <v>58</v>
      </c>
      <c r="D42" s="99">
        <v>1.1599999999999999</v>
      </c>
      <c r="E42" s="99">
        <v>336.4</v>
      </c>
    </row>
    <row r="43" spans="1:5" s="5" customFormat="1" ht="25.5" customHeight="1">
      <c r="A43" s="104">
        <f t="shared" si="0"/>
        <v>38</v>
      </c>
      <c r="B43" s="85" t="s">
        <v>988</v>
      </c>
      <c r="C43" s="178" t="s">
        <v>58</v>
      </c>
      <c r="D43" s="99">
        <v>1.1599999999999999</v>
      </c>
      <c r="E43" s="99">
        <v>470.96</v>
      </c>
    </row>
    <row r="44" spans="1:5" s="5" customFormat="1" ht="25.5" customHeight="1">
      <c r="A44" s="104">
        <f t="shared" si="0"/>
        <v>39</v>
      </c>
      <c r="B44" s="85" t="s">
        <v>987</v>
      </c>
      <c r="C44" s="178" t="s">
        <v>58</v>
      </c>
      <c r="D44" s="99">
        <v>1.1599999999999999</v>
      </c>
      <c r="E44" s="99">
        <v>825.92</v>
      </c>
    </row>
    <row r="45" spans="1:5" s="5" customFormat="1" ht="25.5" customHeight="1">
      <c r="A45" s="104">
        <f t="shared" si="0"/>
        <v>40</v>
      </c>
      <c r="B45" s="85" t="s">
        <v>986</v>
      </c>
      <c r="C45" s="178" t="s">
        <v>58</v>
      </c>
      <c r="D45" s="99">
        <v>1.1599999999999999</v>
      </c>
      <c r="E45" s="99">
        <v>972.07999999999993</v>
      </c>
    </row>
    <row r="46" spans="1:5" s="5" customFormat="1" ht="25.5" customHeight="1">
      <c r="A46" s="104">
        <f t="shared" si="0"/>
        <v>41</v>
      </c>
      <c r="B46" s="85" t="s">
        <v>985</v>
      </c>
      <c r="C46" s="178" t="s">
        <v>58</v>
      </c>
      <c r="D46" s="99">
        <v>1.1599999999999999</v>
      </c>
      <c r="E46" s="99">
        <v>924.52</v>
      </c>
    </row>
    <row r="47" spans="1:5" s="5" customFormat="1" ht="25.5" customHeight="1">
      <c r="A47" s="104">
        <f t="shared" si="0"/>
        <v>42</v>
      </c>
      <c r="B47" s="85" t="s">
        <v>984</v>
      </c>
      <c r="C47" s="178" t="s">
        <v>58</v>
      </c>
      <c r="D47" s="99">
        <v>1.1599999999999999</v>
      </c>
      <c r="E47" s="99">
        <v>1076.48</v>
      </c>
    </row>
    <row r="48" spans="1:5" s="5" customFormat="1" ht="25.5" customHeight="1">
      <c r="A48" s="104">
        <f t="shared" si="0"/>
        <v>43</v>
      </c>
      <c r="B48" s="85" t="s">
        <v>851</v>
      </c>
      <c r="C48" s="178" t="s">
        <v>58</v>
      </c>
      <c r="D48" s="99">
        <v>1.1599999999999999</v>
      </c>
      <c r="E48" s="99">
        <v>56.839999999999996</v>
      </c>
    </row>
    <row r="49" spans="1:5" s="5" customFormat="1" ht="25.5" customHeight="1">
      <c r="A49" s="104">
        <f t="shared" si="0"/>
        <v>44</v>
      </c>
      <c r="B49" s="85" t="s">
        <v>847</v>
      </c>
      <c r="C49" s="178" t="s">
        <v>58</v>
      </c>
      <c r="D49" s="99">
        <v>1.1599999999999999</v>
      </c>
      <c r="E49" s="99">
        <v>556.79999999999995</v>
      </c>
    </row>
    <row r="50" spans="1:5" s="5" customFormat="1" ht="25.5" customHeight="1">
      <c r="A50" s="104">
        <f t="shared" si="0"/>
        <v>45</v>
      </c>
      <c r="B50" s="85" t="s">
        <v>818</v>
      </c>
      <c r="C50" s="178" t="s">
        <v>58</v>
      </c>
      <c r="D50" s="99">
        <v>1.1599999999999999</v>
      </c>
      <c r="E50" s="99">
        <v>417.59999999999997</v>
      </c>
    </row>
    <row r="51" spans="1:5" s="5" customFormat="1" ht="25.5" customHeight="1">
      <c r="A51" s="104">
        <f t="shared" si="0"/>
        <v>46</v>
      </c>
      <c r="B51" s="85" t="s">
        <v>983</v>
      </c>
      <c r="C51" s="178" t="s">
        <v>58</v>
      </c>
      <c r="D51" s="99">
        <v>1.1599999999999999</v>
      </c>
      <c r="E51" s="99">
        <v>119.1088</v>
      </c>
    </row>
    <row r="52" spans="1:5" s="5" customFormat="1" ht="25.5" customHeight="1">
      <c r="A52" s="104">
        <f t="shared" si="0"/>
        <v>47</v>
      </c>
      <c r="B52" s="85" t="s">
        <v>846</v>
      </c>
      <c r="C52" s="178" t="s">
        <v>58</v>
      </c>
      <c r="D52" s="99">
        <v>1.1599999999999999</v>
      </c>
      <c r="E52" s="99">
        <v>203</v>
      </c>
    </row>
    <row r="53" spans="1:5" s="5" customFormat="1" ht="25.5" customHeight="1">
      <c r="A53" s="104">
        <f t="shared" si="0"/>
        <v>48</v>
      </c>
      <c r="B53" s="85" t="s">
        <v>837</v>
      </c>
      <c r="C53" s="178" t="s">
        <v>58</v>
      </c>
      <c r="D53" s="99">
        <v>1.1599999999999999</v>
      </c>
      <c r="E53" s="99">
        <v>406</v>
      </c>
    </row>
    <row r="54" spans="1:5" s="5" customFormat="1" ht="25.5" customHeight="1">
      <c r="A54" s="104">
        <f t="shared" si="0"/>
        <v>49</v>
      </c>
      <c r="B54" s="85" t="s">
        <v>844</v>
      </c>
      <c r="C54" s="178" t="s">
        <v>58</v>
      </c>
      <c r="D54" s="99">
        <v>1.1599999999999999</v>
      </c>
      <c r="E54" s="99">
        <v>1276</v>
      </c>
    </row>
    <row r="55" spans="1:5" s="5" customFormat="1" ht="25.5" customHeight="1">
      <c r="A55" s="104">
        <f t="shared" si="0"/>
        <v>50</v>
      </c>
      <c r="B55" s="85" t="s">
        <v>982</v>
      </c>
      <c r="C55" s="178" t="s">
        <v>58</v>
      </c>
      <c r="D55" s="99">
        <v>1.1599999999999999</v>
      </c>
      <c r="E55" s="99">
        <v>3016</v>
      </c>
    </row>
    <row r="56" spans="1:5" s="5" customFormat="1" ht="25.5" customHeight="1">
      <c r="A56" s="104">
        <f t="shared" si="0"/>
        <v>51</v>
      </c>
      <c r="B56" s="85" t="s">
        <v>839</v>
      </c>
      <c r="C56" s="178" t="s">
        <v>58</v>
      </c>
      <c r="D56" s="99">
        <v>1.1599999999999999</v>
      </c>
      <c r="E56" s="99">
        <v>3595.9999999999995</v>
      </c>
    </row>
    <row r="57" spans="1:5" s="5" customFormat="1" ht="25.5" customHeight="1">
      <c r="A57" s="104">
        <f t="shared" si="0"/>
        <v>52</v>
      </c>
      <c r="B57" s="85" t="s">
        <v>849</v>
      </c>
      <c r="C57" s="178" t="s">
        <v>58</v>
      </c>
      <c r="D57" s="99">
        <v>1.1599999999999999</v>
      </c>
      <c r="E57" s="99">
        <v>1480.1599999999999</v>
      </c>
    </row>
    <row r="58" spans="1:5" s="5" customFormat="1" ht="25.5" customHeight="1">
      <c r="A58" s="104">
        <f t="shared" si="0"/>
        <v>53</v>
      </c>
      <c r="B58" s="85" t="s">
        <v>981</v>
      </c>
      <c r="C58" s="178" t="s">
        <v>58</v>
      </c>
      <c r="D58" s="99">
        <v>1.1599999999999999</v>
      </c>
      <c r="E58" s="99">
        <v>28.999999999999996</v>
      </c>
    </row>
    <row r="59" spans="1:5" s="5" customFormat="1" ht="25.5" customHeight="1">
      <c r="A59" s="104">
        <f t="shared" si="0"/>
        <v>54</v>
      </c>
      <c r="B59" s="85" t="s">
        <v>980</v>
      </c>
      <c r="C59" s="178" t="s">
        <v>58</v>
      </c>
      <c r="D59" s="99">
        <v>1.1599999999999999</v>
      </c>
      <c r="E59" s="99">
        <v>5.8</v>
      </c>
    </row>
    <row r="60" spans="1:5" s="5" customFormat="1" ht="25.5" customHeight="1">
      <c r="A60" s="104">
        <f t="shared" si="0"/>
        <v>55</v>
      </c>
      <c r="B60" s="85" t="s">
        <v>979</v>
      </c>
      <c r="C60" s="178" t="s">
        <v>58</v>
      </c>
      <c r="D60" s="99">
        <v>1.1599999999999999</v>
      </c>
      <c r="E60" s="99">
        <v>17.399999999999999</v>
      </c>
    </row>
    <row r="61" spans="1:5" s="5" customFormat="1" ht="25.5" customHeight="1">
      <c r="A61" s="104">
        <f t="shared" si="0"/>
        <v>56</v>
      </c>
      <c r="B61" s="85" t="s">
        <v>824</v>
      </c>
      <c r="C61" s="178" t="s">
        <v>58</v>
      </c>
      <c r="D61" s="99">
        <v>1.1599999999999999</v>
      </c>
      <c r="E61" s="99">
        <v>87</v>
      </c>
    </row>
    <row r="62" spans="1:5" s="5" customFormat="1" ht="25.5" customHeight="1">
      <c r="A62" s="104">
        <f t="shared" si="0"/>
        <v>57</v>
      </c>
      <c r="B62" s="85" t="s">
        <v>978</v>
      </c>
      <c r="C62" s="178" t="s">
        <v>58</v>
      </c>
      <c r="D62" s="99">
        <v>1.1599999999999999</v>
      </c>
      <c r="E62" s="99">
        <v>63.8</v>
      </c>
    </row>
    <row r="63" spans="1:5" s="5" customFormat="1" ht="25.5" customHeight="1">
      <c r="A63" s="104">
        <f t="shared" si="0"/>
        <v>58</v>
      </c>
      <c r="B63" s="85" t="s">
        <v>977</v>
      </c>
      <c r="C63" s="178" t="s">
        <v>58</v>
      </c>
      <c r="D63" s="99">
        <v>1.1599999999999999</v>
      </c>
      <c r="E63" s="99">
        <v>17.399999999999999</v>
      </c>
    </row>
    <row r="64" spans="1:5" s="5" customFormat="1" ht="25.5" customHeight="1">
      <c r="A64" s="104">
        <f t="shared" si="0"/>
        <v>59</v>
      </c>
      <c r="B64" s="85" t="s">
        <v>976</v>
      </c>
      <c r="C64" s="178" t="s">
        <v>58</v>
      </c>
      <c r="D64" s="99">
        <v>1.1599999999999999</v>
      </c>
      <c r="E64" s="99">
        <v>17.399999999999999</v>
      </c>
    </row>
    <row r="65" spans="1:5" s="5" customFormat="1" ht="25.5" customHeight="1">
      <c r="A65" s="104">
        <f t="shared" si="0"/>
        <v>60</v>
      </c>
      <c r="B65" s="85" t="s">
        <v>815</v>
      </c>
      <c r="C65" s="178" t="s">
        <v>58</v>
      </c>
      <c r="D65" s="99">
        <v>1.1599999999999999</v>
      </c>
      <c r="E65" s="99">
        <v>121.8</v>
      </c>
    </row>
    <row r="66" spans="1:5" s="5" customFormat="1" ht="25.5" customHeight="1">
      <c r="A66" s="104">
        <f t="shared" si="0"/>
        <v>61</v>
      </c>
      <c r="B66" s="85" t="s">
        <v>813</v>
      </c>
      <c r="C66" s="178" t="s">
        <v>58</v>
      </c>
      <c r="D66" s="99">
        <v>1.1599999999999999</v>
      </c>
      <c r="E66" s="99">
        <v>197.2</v>
      </c>
    </row>
    <row r="67" spans="1:5" s="5" customFormat="1" ht="25.5" customHeight="1">
      <c r="A67" s="104">
        <f t="shared" si="0"/>
        <v>62</v>
      </c>
      <c r="B67" s="85" t="s">
        <v>975</v>
      </c>
      <c r="C67" s="178" t="s">
        <v>58</v>
      </c>
      <c r="D67" s="99">
        <v>1.1599999999999999</v>
      </c>
      <c r="E67" s="99">
        <v>114.83999999999999</v>
      </c>
    </row>
    <row r="68" spans="1:5" s="5" customFormat="1" ht="25.5" customHeight="1">
      <c r="A68" s="104">
        <f t="shared" si="0"/>
        <v>63</v>
      </c>
      <c r="B68" s="85" t="s">
        <v>811</v>
      </c>
      <c r="C68" s="178" t="s">
        <v>58</v>
      </c>
      <c r="D68" s="99">
        <v>1.1599999999999999</v>
      </c>
      <c r="E68" s="99">
        <v>127.6</v>
      </c>
    </row>
    <row r="69" spans="1:5" s="5" customFormat="1" ht="25.5" customHeight="1">
      <c r="A69" s="104">
        <f t="shared" si="0"/>
        <v>64</v>
      </c>
      <c r="B69" s="85" t="s">
        <v>974</v>
      </c>
      <c r="C69" s="178" t="s">
        <v>58</v>
      </c>
      <c r="D69" s="99">
        <v>1.1599999999999999</v>
      </c>
      <c r="E69" s="99">
        <v>383.96</v>
      </c>
    </row>
    <row r="70" spans="1:5" s="5" customFormat="1" ht="25.5" customHeight="1">
      <c r="A70" s="104">
        <f t="shared" si="0"/>
        <v>65</v>
      </c>
      <c r="B70" s="85" t="s">
        <v>973</v>
      </c>
      <c r="C70" s="178" t="s">
        <v>58</v>
      </c>
      <c r="D70" s="99">
        <v>1.1599999999999999</v>
      </c>
      <c r="E70" s="99">
        <v>434.99999999999994</v>
      </c>
    </row>
    <row r="71" spans="1:5" s="5" customFormat="1" ht="25.5" customHeight="1">
      <c r="A71" s="104">
        <f t="shared" si="0"/>
        <v>66</v>
      </c>
      <c r="B71" s="85" t="s">
        <v>822</v>
      </c>
      <c r="C71" s="178" t="s">
        <v>58</v>
      </c>
      <c r="D71" s="99">
        <v>1.1599999999999999</v>
      </c>
      <c r="E71" s="99">
        <v>266.79999999999995</v>
      </c>
    </row>
    <row r="72" spans="1:5" s="5" customFormat="1" ht="25.5" customHeight="1">
      <c r="A72" s="104">
        <f t="shared" si="0"/>
        <v>67</v>
      </c>
      <c r="B72" s="85" t="s">
        <v>972</v>
      </c>
      <c r="C72" s="178" t="s">
        <v>58</v>
      </c>
      <c r="D72" s="99">
        <v>1.1599999999999999</v>
      </c>
      <c r="E72" s="99">
        <v>28.999999999999996</v>
      </c>
    </row>
    <row r="73" spans="1:5" s="5" customFormat="1" ht="25.5" customHeight="1">
      <c r="A73" s="104">
        <f t="shared" si="0"/>
        <v>68</v>
      </c>
      <c r="B73" s="85" t="s">
        <v>971</v>
      </c>
      <c r="C73" s="178" t="s">
        <v>58</v>
      </c>
      <c r="D73" s="99">
        <v>1.1599999999999999</v>
      </c>
      <c r="E73" s="99">
        <v>5.8</v>
      </c>
    </row>
    <row r="74" spans="1:5" s="5" customFormat="1" ht="25.5" customHeight="1">
      <c r="A74" s="104">
        <f t="shared" si="0"/>
        <v>69</v>
      </c>
      <c r="B74" s="85" t="s">
        <v>807</v>
      </c>
      <c r="C74" s="178" t="s">
        <v>58</v>
      </c>
      <c r="D74" s="99">
        <v>1.1599999999999999</v>
      </c>
      <c r="E74" s="99">
        <v>17.399999999999999</v>
      </c>
    </row>
    <row r="75" spans="1:5" s="5" customFormat="1" ht="25.5" customHeight="1">
      <c r="A75" s="104">
        <f t="shared" ref="A75:A138" si="1">A74+1</f>
        <v>70</v>
      </c>
      <c r="B75" s="85" t="s">
        <v>799</v>
      </c>
      <c r="C75" s="178" t="s">
        <v>58</v>
      </c>
      <c r="D75" s="99">
        <v>1.1599999999999999</v>
      </c>
      <c r="E75" s="99">
        <v>102.08</v>
      </c>
    </row>
    <row r="76" spans="1:5" s="5" customFormat="1" ht="25.5" customHeight="1">
      <c r="A76" s="104">
        <f t="shared" si="1"/>
        <v>71</v>
      </c>
      <c r="B76" s="85" t="s">
        <v>970</v>
      </c>
      <c r="C76" s="178" t="s">
        <v>58</v>
      </c>
      <c r="D76" s="99">
        <v>1.1599999999999999</v>
      </c>
      <c r="E76" s="99">
        <v>63.8</v>
      </c>
    </row>
    <row r="77" spans="1:5" s="5" customFormat="1" ht="25.5" customHeight="1">
      <c r="A77" s="104">
        <f t="shared" si="1"/>
        <v>72</v>
      </c>
      <c r="B77" s="85" t="s">
        <v>969</v>
      </c>
      <c r="C77" s="178" t="s">
        <v>58</v>
      </c>
      <c r="D77" s="99">
        <v>1.1599999999999999</v>
      </c>
      <c r="E77" s="99">
        <v>6.9599999999999991</v>
      </c>
    </row>
    <row r="78" spans="1:5" s="5" customFormat="1" ht="25.5" customHeight="1">
      <c r="A78" s="104">
        <f t="shared" si="1"/>
        <v>73</v>
      </c>
      <c r="B78" s="85" t="s">
        <v>968</v>
      </c>
      <c r="C78" s="178" t="s">
        <v>58</v>
      </c>
      <c r="D78" s="99">
        <v>2.16</v>
      </c>
      <c r="E78" s="99">
        <v>38.880000000000003</v>
      </c>
    </row>
    <row r="79" spans="1:5" s="5" customFormat="1" ht="25.5" customHeight="1">
      <c r="A79" s="104">
        <f t="shared" si="1"/>
        <v>74</v>
      </c>
      <c r="B79" s="85" t="s">
        <v>793</v>
      </c>
      <c r="C79" s="178" t="s">
        <v>58</v>
      </c>
      <c r="D79" s="99">
        <v>1.1599999999999999</v>
      </c>
      <c r="E79" s="99">
        <v>139.19999999999999</v>
      </c>
    </row>
    <row r="80" spans="1:5" s="5" customFormat="1" ht="25.5" customHeight="1">
      <c r="A80" s="104">
        <f t="shared" si="1"/>
        <v>75</v>
      </c>
      <c r="B80" s="85" t="s">
        <v>795</v>
      </c>
      <c r="C80" s="178" t="s">
        <v>58</v>
      </c>
      <c r="D80" s="99">
        <v>1.1599999999999999</v>
      </c>
      <c r="E80" s="99">
        <v>243.6</v>
      </c>
    </row>
    <row r="81" spans="1:5" s="5" customFormat="1" ht="25.5" customHeight="1">
      <c r="A81" s="104">
        <f t="shared" si="1"/>
        <v>76</v>
      </c>
      <c r="B81" s="85" t="s">
        <v>967</v>
      </c>
      <c r="C81" s="178" t="s">
        <v>58</v>
      </c>
      <c r="D81" s="99">
        <v>1.1599999999999999</v>
      </c>
      <c r="E81" s="99">
        <v>562.59999999999991</v>
      </c>
    </row>
    <row r="82" spans="1:5" s="5" customFormat="1" ht="25.5" customHeight="1">
      <c r="A82" s="104">
        <f t="shared" si="1"/>
        <v>77</v>
      </c>
      <c r="B82" s="85" t="s">
        <v>889</v>
      </c>
      <c r="C82" s="178" t="s">
        <v>58</v>
      </c>
      <c r="D82" s="99">
        <v>1.1599999999999999</v>
      </c>
      <c r="E82" s="99">
        <v>609</v>
      </c>
    </row>
    <row r="83" spans="1:5" s="5" customFormat="1" ht="25.5" customHeight="1">
      <c r="A83" s="104">
        <f t="shared" si="1"/>
        <v>78</v>
      </c>
      <c r="B83" s="85" t="s">
        <v>888</v>
      </c>
      <c r="C83" s="178" t="s">
        <v>58</v>
      </c>
      <c r="D83" s="99">
        <v>1.1599999999999999</v>
      </c>
      <c r="E83" s="99">
        <v>667</v>
      </c>
    </row>
    <row r="84" spans="1:5" s="5" customFormat="1" ht="25.5" customHeight="1">
      <c r="A84" s="104">
        <f t="shared" si="1"/>
        <v>79</v>
      </c>
      <c r="B84" s="85" t="s">
        <v>783</v>
      </c>
      <c r="C84" s="178" t="s">
        <v>58</v>
      </c>
      <c r="D84" s="99">
        <v>1.1599999999999999</v>
      </c>
      <c r="E84" s="99">
        <v>7.4239999999999995</v>
      </c>
    </row>
    <row r="85" spans="1:5" s="5" customFormat="1" ht="25.5" customHeight="1">
      <c r="A85" s="104">
        <f t="shared" si="1"/>
        <v>80</v>
      </c>
      <c r="B85" s="85" t="s">
        <v>831</v>
      </c>
      <c r="C85" s="178" t="s">
        <v>58</v>
      </c>
      <c r="D85" s="99">
        <v>1.1599999999999999</v>
      </c>
      <c r="E85" s="99">
        <v>2.0531999999999999</v>
      </c>
    </row>
    <row r="86" spans="1:5" s="5" customFormat="1" ht="25.5" customHeight="1">
      <c r="A86" s="104">
        <f t="shared" si="1"/>
        <v>81</v>
      </c>
      <c r="B86" s="85" t="s">
        <v>830</v>
      </c>
      <c r="C86" s="178" t="s">
        <v>58</v>
      </c>
      <c r="D86" s="99">
        <v>1.1599999999999999</v>
      </c>
      <c r="E86" s="99">
        <v>8.1199999999999992</v>
      </c>
    </row>
    <row r="87" spans="1:5" s="5" customFormat="1" ht="25.5" customHeight="1">
      <c r="A87" s="104">
        <f t="shared" si="1"/>
        <v>82</v>
      </c>
      <c r="B87" s="85" t="s">
        <v>966</v>
      </c>
      <c r="C87" s="178" t="s">
        <v>58</v>
      </c>
      <c r="D87" s="99">
        <v>1.1599999999999999</v>
      </c>
      <c r="E87" s="99">
        <v>13.919999999999998</v>
      </c>
    </row>
    <row r="88" spans="1:5" s="5" customFormat="1" ht="25.5" customHeight="1">
      <c r="A88" s="104">
        <f t="shared" si="1"/>
        <v>83</v>
      </c>
      <c r="B88" s="85" t="s">
        <v>965</v>
      </c>
      <c r="C88" s="178" t="s">
        <v>58</v>
      </c>
      <c r="D88" s="99">
        <v>1.1599999999999999</v>
      </c>
      <c r="E88" s="99">
        <v>13.919999999999998</v>
      </c>
    </row>
    <row r="89" spans="1:5" s="5" customFormat="1" ht="25.5" customHeight="1">
      <c r="A89" s="104">
        <f t="shared" si="1"/>
        <v>84</v>
      </c>
      <c r="B89" s="85" t="s">
        <v>835</v>
      </c>
      <c r="C89" s="178" t="s">
        <v>58</v>
      </c>
      <c r="D89" s="99">
        <v>1.1599999999999999</v>
      </c>
      <c r="E89" s="99">
        <v>13.919999999999998</v>
      </c>
    </row>
    <row r="90" spans="1:5" s="5" customFormat="1" ht="25.5" customHeight="1">
      <c r="A90" s="104">
        <f t="shared" si="1"/>
        <v>85</v>
      </c>
      <c r="B90" s="85" t="s">
        <v>834</v>
      </c>
      <c r="C90" s="178" t="s">
        <v>58</v>
      </c>
      <c r="D90" s="99">
        <v>1.1599999999999999</v>
      </c>
      <c r="E90" s="99">
        <v>13.919999999999998</v>
      </c>
    </row>
    <row r="91" spans="1:5" s="5" customFormat="1" ht="25.5" customHeight="1">
      <c r="A91" s="104">
        <f t="shared" si="1"/>
        <v>86</v>
      </c>
      <c r="B91" s="85" t="s">
        <v>833</v>
      </c>
      <c r="C91" s="178" t="s">
        <v>58</v>
      </c>
      <c r="D91" s="99">
        <v>1.1599999999999999</v>
      </c>
      <c r="E91" s="99">
        <v>3325.0007999999998</v>
      </c>
    </row>
    <row r="92" spans="1:5" s="5" customFormat="1" ht="25.5" customHeight="1">
      <c r="A92" s="104">
        <f t="shared" si="1"/>
        <v>87</v>
      </c>
      <c r="B92" s="85" t="s">
        <v>829</v>
      </c>
      <c r="C92" s="178" t="s">
        <v>58</v>
      </c>
      <c r="D92" s="99">
        <v>1.1599999999999999</v>
      </c>
      <c r="E92" s="99">
        <v>5249.9975999999997</v>
      </c>
    </row>
    <row r="93" spans="1:5" s="5" customFormat="1" ht="25.5" customHeight="1">
      <c r="A93" s="104">
        <f t="shared" si="1"/>
        <v>88</v>
      </c>
      <c r="B93" s="85" t="s">
        <v>826</v>
      </c>
      <c r="C93" s="178" t="s">
        <v>58</v>
      </c>
      <c r="D93" s="99">
        <v>1.1599999999999999</v>
      </c>
      <c r="E93" s="99">
        <v>4350</v>
      </c>
    </row>
    <row r="94" spans="1:5" s="5" customFormat="1" ht="25.5" customHeight="1">
      <c r="A94" s="104">
        <f t="shared" si="1"/>
        <v>89</v>
      </c>
      <c r="B94" s="85" t="s">
        <v>964</v>
      </c>
      <c r="C94" s="178" t="s">
        <v>58</v>
      </c>
      <c r="D94" s="99">
        <v>1.1599999999999999</v>
      </c>
      <c r="E94" s="99">
        <v>83.52</v>
      </c>
    </row>
    <row r="95" spans="1:5" s="5" customFormat="1" ht="25.5" customHeight="1">
      <c r="A95" s="104">
        <f t="shared" si="1"/>
        <v>90</v>
      </c>
      <c r="B95" s="85" t="s">
        <v>805</v>
      </c>
      <c r="C95" s="178" t="s">
        <v>58</v>
      </c>
      <c r="D95" s="99">
        <v>1.1599999999999999</v>
      </c>
      <c r="E95" s="99">
        <v>149.63999999999999</v>
      </c>
    </row>
    <row r="96" spans="1:5" s="5" customFormat="1" ht="25.5" customHeight="1">
      <c r="A96" s="104">
        <f t="shared" si="1"/>
        <v>91</v>
      </c>
      <c r="B96" s="85" t="s">
        <v>804</v>
      </c>
      <c r="C96" s="178" t="s">
        <v>58</v>
      </c>
      <c r="D96" s="99">
        <v>1.1599999999999999</v>
      </c>
      <c r="E96" s="99">
        <v>25.52</v>
      </c>
    </row>
    <row r="97" spans="1:5" s="5" customFormat="1" ht="25.5" customHeight="1">
      <c r="A97" s="104">
        <f t="shared" si="1"/>
        <v>92</v>
      </c>
      <c r="B97" s="85" t="s">
        <v>773</v>
      </c>
      <c r="C97" s="178" t="s">
        <v>58</v>
      </c>
      <c r="D97" s="99">
        <v>1.1599999999999999</v>
      </c>
      <c r="E97" s="99">
        <v>10.44</v>
      </c>
    </row>
    <row r="98" spans="1:5" s="5" customFormat="1" ht="25.5" customHeight="1">
      <c r="A98" s="104">
        <f t="shared" si="1"/>
        <v>93</v>
      </c>
      <c r="B98" s="85" t="s">
        <v>803</v>
      </c>
      <c r="C98" s="178" t="s">
        <v>58</v>
      </c>
      <c r="D98" s="99">
        <v>1.1599999999999999</v>
      </c>
      <c r="E98" s="99">
        <v>10.44</v>
      </c>
    </row>
    <row r="99" spans="1:5" s="5" customFormat="1" ht="25.5" customHeight="1">
      <c r="A99" s="104">
        <f t="shared" si="1"/>
        <v>94</v>
      </c>
      <c r="B99" s="85" t="s">
        <v>963</v>
      </c>
      <c r="C99" s="178" t="s">
        <v>58</v>
      </c>
      <c r="D99" s="99">
        <v>1.1599999999999999</v>
      </c>
      <c r="E99" s="99">
        <v>498.79999999999995</v>
      </c>
    </row>
    <row r="100" spans="1:5" s="5" customFormat="1" ht="25.5" customHeight="1">
      <c r="A100" s="104">
        <f t="shared" si="1"/>
        <v>95</v>
      </c>
      <c r="B100" s="85" t="s">
        <v>962</v>
      </c>
      <c r="C100" s="178" t="s">
        <v>58</v>
      </c>
      <c r="D100" s="99">
        <v>1.1599999999999999</v>
      </c>
      <c r="E100" s="99">
        <v>40.599999999999994</v>
      </c>
    </row>
    <row r="101" spans="1:5" s="5" customFormat="1" ht="25.5" customHeight="1">
      <c r="A101" s="104">
        <f t="shared" si="1"/>
        <v>96</v>
      </c>
      <c r="B101" s="85" t="s">
        <v>961</v>
      </c>
      <c r="C101" s="178" t="s">
        <v>58</v>
      </c>
      <c r="D101" s="99">
        <v>1.1599999999999999</v>
      </c>
      <c r="E101" s="99">
        <v>158.91999999999999</v>
      </c>
    </row>
    <row r="102" spans="1:5" s="5" customFormat="1" ht="25.5" customHeight="1">
      <c r="A102" s="104">
        <f t="shared" si="1"/>
        <v>97</v>
      </c>
      <c r="B102" s="85" t="s">
        <v>960</v>
      </c>
      <c r="C102" s="178" t="s">
        <v>58</v>
      </c>
      <c r="D102" s="99">
        <v>1.1599999999999999</v>
      </c>
      <c r="E102" s="99">
        <v>25.52</v>
      </c>
    </row>
    <row r="103" spans="1:5" s="5" customFormat="1" ht="25.5" customHeight="1">
      <c r="A103" s="104">
        <f t="shared" si="1"/>
        <v>98</v>
      </c>
      <c r="B103" s="85" t="s">
        <v>959</v>
      </c>
      <c r="C103" s="178" t="s">
        <v>58</v>
      </c>
      <c r="D103" s="99">
        <v>1.1599999999999999</v>
      </c>
      <c r="E103" s="99">
        <v>13.919999999999998</v>
      </c>
    </row>
    <row r="104" spans="1:5" s="5" customFormat="1" ht="25.5" customHeight="1">
      <c r="A104" s="104">
        <f t="shared" si="1"/>
        <v>99</v>
      </c>
      <c r="B104" s="85" t="s">
        <v>958</v>
      </c>
      <c r="C104" s="178" t="s">
        <v>58</v>
      </c>
      <c r="D104" s="99">
        <v>1.1599999999999999</v>
      </c>
      <c r="E104" s="99">
        <v>37.119999999999997</v>
      </c>
    </row>
    <row r="105" spans="1:5" s="5" customFormat="1" ht="25.5" customHeight="1">
      <c r="A105" s="104">
        <f t="shared" si="1"/>
        <v>100</v>
      </c>
      <c r="B105" s="85" t="s">
        <v>957</v>
      </c>
      <c r="C105" s="178" t="s">
        <v>58</v>
      </c>
      <c r="D105" s="99">
        <v>1.1599999999999999</v>
      </c>
      <c r="E105" s="99">
        <v>34.799999999999997</v>
      </c>
    </row>
    <row r="106" spans="1:5" s="5" customFormat="1" ht="25.5" customHeight="1">
      <c r="A106" s="104">
        <f t="shared" si="1"/>
        <v>101</v>
      </c>
      <c r="B106" s="85" t="s">
        <v>956</v>
      </c>
      <c r="C106" s="178" t="s">
        <v>58</v>
      </c>
      <c r="D106" s="99">
        <v>1.1599999999999999</v>
      </c>
      <c r="E106" s="99">
        <v>46.4</v>
      </c>
    </row>
    <row r="107" spans="1:5" s="5" customFormat="1" ht="25.5" customHeight="1">
      <c r="A107" s="104">
        <f t="shared" si="1"/>
        <v>102</v>
      </c>
      <c r="B107" s="85" t="s">
        <v>955</v>
      </c>
      <c r="C107" s="178" t="s">
        <v>58</v>
      </c>
      <c r="D107" s="99">
        <v>1.1599999999999999</v>
      </c>
      <c r="E107" s="99">
        <v>87</v>
      </c>
    </row>
    <row r="108" spans="1:5" s="5" customFormat="1" ht="25.5" customHeight="1">
      <c r="A108" s="104">
        <f t="shared" si="1"/>
        <v>103</v>
      </c>
      <c r="B108" s="85" t="s">
        <v>954</v>
      </c>
      <c r="C108" s="178" t="s">
        <v>58</v>
      </c>
      <c r="D108" s="99">
        <v>1.1599999999999999</v>
      </c>
      <c r="E108" s="99">
        <v>4.8951999999999991</v>
      </c>
    </row>
    <row r="109" spans="1:5" s="5" customFormat="1" ht="25.5" customHeight="1">
      <c r="A109" s="104">
        <f t="shared" si="1"/>
        <v>104</v>
      </c>
      <c r="B109" s="85" t="s">
        <v>801</v>
      </c>
      <c r="C109" s="178" t="s">
        <v>58</v>
      </c>
      <c r="D109" s="99">
        <v>1.1599999999999999</v>
      </c>
      <c r="E109" s="99">
        <v>3.4799999999999995</v>
      </c>
    </row>
    <row r="110" spans="1:5" s="5" customFormat="1" ht="25.5" customHeight="1">
      <c r="A110" s="104">
        <f t="shared" si="1"/>
        <v>105</v>
      </c>
      <c r="B110" s="85" t="s">
        <v>953</v>
      </c>
      <c r="C110" s="178" t="s">
        <v>58</v>
      </c>
      <c r="D110" s="99">
        <v>1.1599999999999999</v>
      </c>
      <c r="E110" s="99">
        <v>20.88</v>
      </c>
    </row>
    <row r="111" spans="1:5" s="5" customFormat="1" ht="25.5" customHeight="1">
      <c r="A111" s="104">
        <f t="shared" si="1"/>
        <v>106</v>
      </c>
      <c r="B111" s="85" t="s">
        <v>952</v>
      </c>
      <c r="C111" s="178" t="s">
        <v>58</v>
      </c>
      <c r="D111" s="99">
        <v>1.1599999999999999</v>
      </c>
      <c r="E111" s="99">
        <v>96.279999999999987</v>
      </c>
    </row>
    <row r="112" spans="1:5" s="5" customFormat="1" ht="25.5" customHeight="1">
      <c r="A112" s="104">
        <f t="shared" si="1"/>
        <v>107</v>
      </c>
      <c r="B112" s="85" t="s">
        <v>1012</v>
      </c>
      <c r="C112" s="178" t="s">
        <v>58</v>
      </c>
      <c r="D112" s="99">
        <v>1.1599999999999999</v>
      </c>
      <c r="E112" s="99">
        <v>219.23999999999998</v>
      </c>
    </row>
    <row r="113" spans="1:5" s="5" customFormat="1" ht="25.5" customHeight="1">
      <c r="A113" s="104">
        <f t="shared" si="1"/>
        <v>108</v>
      </c>
      <c r="B113" s="85" t="s">
        <v>787</v>
      </c>
      <c r="C113" s="178" t="s">
        <v>58</v>
      </c>
      <c r="D113" s="99">
        <v>1.1599999999999999</v>
      </c>
      <c r="E113" s="99">
        <v>51.04</v>
      </c>
    </row>
    <row r="114" spans="1:5" s="5" customFormat="1" ht="25.5" customHeight="1">
      <c r="A114" s="104">
        <f t="shared" si="1"/>
        <v>109</v>
      </c>
      <c r="B114" s="85" t="s">
        <v>786</v>
      </c>
      <c r="C114" s="178" t="s">
        <v>58</v>
      </c>
      <c r="D114" s="99">
        <v>1.1599999999999999</v>
      </c>
      <c r="E114" s="99">
        <v>15.079999999999998</v>
      </c>
    </row>
    <row r="115" spans="1:5" s="5" customFormat="1" ht="25.5" customHeight="1">
      <c r="A115" s="104">
        <f t="shared" si="1"/>
        <v>110</v>
      </c>
      <c r="B115" s="85" t="s">
        <v>785</v>
      </c>
      <c r="C115" s="178" t="s">
        <v>58</v>
      </c>
      <c r="D115" s="99">
        <v>1.1599999999999999</v>
      </c>
      <c r="E115" s="99">
        <v>15.079999999999998</v>
      </c>
    </row>
    <row r="116" spans="1:5" s="5" customFormat="1" ht="25.5" customHeight="1">
      <c r="A116" s="104">
        <f t="shared" si="1"/>
        <v>111</v>
      </c>
      <c r="B116" s="85" t="s">
        <v>951</v>
      </c>
      <c r="C116" s="178" t="s">
        <v>58</v>
      </c>
      <c r="D116" s="99">
        <v>1.1599999999999999</v>
      </c>
      <c r="E116" s="99">
        <v>571.88</v>
      </c>
    </row>
    <row r="117" spans="1:5" s="5" customFormat="1" ht="25.5" customHeight="1">
      <c r="A117" s="104">
        <f t="shared" si="1"/>
        <v>112</v>
      </c>
      <c r="B117" s="85" t="s">
        <v>950</v>
      </c>
      <c r="C117" s="178" t="s">
        <v>58</v>
      </c>
      <c r="D117" s="99">
        <v>1.1599999999999999</v>
      </c>
      <c r="E117" s="99">
        <v>44.08</v>
      </c>
    </row>
    <row r="118" spans="1:5" s="5" customFormat="1" ht="25.5" customHeight="1">
      <c r="A118" s="104">
        <f t="shared" si="1"/>
        <v>113</v>
      </c>
      <c r="B118" s="85" t="s">
        <v>949</v>
      </c>
      <c r="C118" s="178" t="s">
        <v>58</v>
      </c>
      <c r="D118" s="99">
        <v>1.1599999999999999</v>
      </c>
      <c r="E118" s="99">
        <v>174</v>
      </c>
    </row>
    <row r="119" spans="1:5" s="5" customFormat="1" ht="25.5" customHeight="1">
      <c r="A119" s="104">
        <f t="shared" si="1"/>
        <v>114</v>
      </c>
      <c r="B119" s="85" t="s">
        <v>948</v>
      </c>
      <c r="C119" s="178" t="s">
        <v>58</v>
      </c>
      <c r="D119" s="99">
        <v>1.1599999999999999</v>
      </c>
      <c r="E119" s="99">
        <v>30.159999999999997</v>
      </c>
    </row>
    <row r="120" spans="1:5" s="5" customFormat="1" ht="25.5" customHeight="1">
      <c r="A120" s="104">
        <f t="shared" si="1"/>
        <v>115</v>
      </c>
      <c r="B120" s="85" t="s">
        <v>947</v>
      </c>
      <c r="C120" s="178" t="s">
        <v>58</v>
      </c>
      <c r="D120" s="99">
        <v>1.1599999999999999</v>
      </c>
      <c r="E120" s="99">
        <v>17.399999999999999</v>
      </c>
    </row>
    <row r="121" spans="1:5" s="5" customFormat="1" ht="25.5" customHeight="1">
      <c r="A121" s="104">
        <f t="shared" si="1"/>
        <v>116</v>
      </c>
      <c r="B121" s="85" t="s">
        <v>946</v>
      </c>
      <c r="C121" s="178" t="s">
        <v>58</v>
      </c>
      <c r="D121" s="99">
        <v>1.1599999999999999</v>
      </c>
      <c r="E121" s="99">
        <v>40.599999999999994</v>
      </c>
    </row>
    <row r="122" spans="1:5" s="5" customFormat="1" ht="25.5" customHeight="1">
      <c r="A122" s="104">
        <f t="shared" si="1"/>
        <v>117</v>
      </c>
      <c r="B122" s="85" t="s">
        <v>945</v>
      </c>
      <c r="C122" s="178" t="s">
        <v>58</v>
      </c>
      <c r="D122" s="99">
        <v>1.1599999999999999</v>
      </c>
      <c r="E122" s="99">
        <v>49.879999999999995</v>
      </c>
    </row>
    <row r="123" spans="1:5" s="5" customFormat="1" ht="25.5" customHeight="1">
      <c r="A123" s="104">
        <f t="shared" si="1"/>
        <v>118</v>
      </c>
      <c r="B123" s="85" t="s">
        <v>944</v>
      </c>
      <c r="C123" s="178" t="s">
        <v>58</v>
      </c>
      <c r="D123" s="99">
        <v>1.1599999999999999</v>
      </c>
      <c r="E123" s="99">
        <v>70.759999999999991</v>
      </c>
    </row>
    <row r="124" spans="1:5" s="5" customFormat="1" ht="25.5" customHeight="1">
      <c r="A124" s="104">
        <f t="shared" si="1"/>
        <v>119</v>
      </c>
      <c r="B124" s="85" t="s">
        <v>943</v>
      </c>
      <c r="C124" s="178" t="s">
        <v>58</v>
      </c>
      <c r="D124" s="99">
        <v>1.1599999999999999</v>
      </c>
      <c r="E124" s="99">
        <v>98.6</v>
      </c>
    </row>
    <row r="125" spans="1:5" s="5" customFormat="1" ht="25.5" customHeight="1">
      <c r="A125" s="104">
        <f t="shared" si="1"/>
        <v>120</v>
      </c>
      <c r="B125" s="85" t="s">
        <v>942</v>
      </c>
      <c r="C125" s="178" t="s">
        <v>58</v>
      </c>
      <c r="D125" s="99">
        <v>1.1599999999999999</v>
      </c>
      <c r="E125" s="99">
        <v>6.2407999999999992</v>
      </c>
    </row>
    <row r="126" spans="1:5" s="5" customFormat="1" ht="25.5" customHeight="1">
      <c r="A126" s="104">
        <f t="shared" si="1"/>
        <v>121</v>
      </c>
      <c r="B126" s="85" t="s">
        <v>784</v>
      </c>
      <c r="C126" s="178" t="s">
        <v>58</v>
      </c>
      <c r="D126" s="99">
        <v>1.1599999999999999</v>
      </c>
      <c r="E126" s="99">
        <v>5.8</v>
      </c>
    </row>
    <row r="127" spans="1:5" s="5" customFormat="1" ht="25.5" customHeight="1">
      <c r="A127" s="104">
        <f t="shared" si="1"/>
        <v>122</v>
      </c>
      <c r="B127" s="85" t="s">
        <v>941</v>
      </c>
      <c r="C127" s="178" t="s">
        <v>58</v>
      </c>
      <c r="D127" s="99">
        <v>1.1599999999999999</v>
      </c>
      <c r="E127" s="99">
        <v>17.399999999999999</v>
      </c>
    </row>
    <row r="128" spans="1:5" s="5" customFormat="1" ht="25.5" customHeight="1">
      <c r="A128" s="104">
        <f t="shared" si="1"/>
        <v>123</v>
      </c>
      <c r="B128" s="85" t="s">
        <v>940</v>
      </c>
      <c r="C128" s="178" t="s">
        <v>58</v>
      </c>
      <c r="D128" s="99">
        <v>1.1599999999999999</v>
      </c>
      <c r="E128" s="99">
        <v>92.8</v>
      </c>
    </row>
    <row r="129" spans="1:5" s="5" customFormat="1" ht="25.5" customHeight="1">
      <c r="A129" s="104">
        <f t="shared" si="1"/>
        <v>124</v>
      </c>
      <c r="B129" s="85" t="s">
        <v>939</v>
      </c>
      <c r="C129" s="178" t="s">
        <v>58</v>
      </c>
      <c r="D129" s="99">
        <v>1.1599999999999999</v>
      </c>
      <c r="E129" s="99">
        <v>351.47999999999996</v>
      </c>
    </row>
    <row r="130" spans="1:5" s="5" customFormat="1" ht="25.5" customHeight="1">
      <c r="A130" s="104">
        <f t="shared" si="1"/>
        <v>125</v>
      </c>
      <c r="B130" s="85" t="s">
        <v>938</v>
      </c>
      <c r="C130" s="178" t="s">
        <v>58</v>
      </c>
      <c r="D130" s="99">
        <v>1.1599999999999999</v>
      </c>
      <c r="E130" s="99">
        <v>59.16</v>
      </c>
    </row>
    <row r="131" spans="1:5" s="5" customFormat="1" ht="25.5" customHeight="1">
      <c r="A131" s="104">
        <f t="shared" si="1"/>
        <v>126</v>
      </c>
      <c r="B131" s="85" t="s">
        <v>937</v>
      </c>
      <c r="C131" s="178" t="s">
        <v>58</v>
      </c>
      <c r="D131" s="99">
        <v>1.1599999999999999</v>
      </c>
      <c r="E131" s="99">
        <v>22.04</v>
      </c>
    </row>
    <row r="132" spans="1:5" s="5" customFormat="1" ht="25.5" customHeight="1">
      <c r="A132" s="104">
        <f t="shared" si="1"/>
        <v>127</v>
      </c>
      <c r="B132" s="85" t="s">
        <v>936</v>
      </c>
      <c r="C132" s="178" t="s">
        <v>58</v>
      </c>
      <c r="D132" s="99">
        <v>1.1599999999999999</v>
      </c>
      <c r="E132" s="99">
        <v>22.04</v>
      </c>
    </row>
    <row r="133" spans="1:5" s="5" customFormat="1" ht="25.5" customHeight="1">
      <c r="A133" s="104">
        <f t="shared" si="1"/>
        <v>128</v>
      </c>
      <c r="B133" s="85" t="s">
        <v>935</v>
      </c>
      <c r="C133" s="178" t="s">
        <v>58</v>
      </c>
      <c r="D133" s="99">
        <v>1.1599999999999999</v>
      </c>
      <c r="E133" s="99">
        <v>609</v>
      </c>
    </row>
    <row r="134" spans="1:5" s="5" customFormat="1" ht="25.5" customHeight="1">
      <c r="A134" s="104">
        <f t="shared" si="1"/>
        <v>129</v>
      </c>
      <c r="B134" s="85" t="s">
        <v>934</v>
      </c>
      <c r="C134" s="178" t="s">
        <v>58</v>
      </c>
      <c r="D134" s="99">
        <v>1.1599999999999999</v>
      </c>
      <c r="E134" s="99">
        <v>153.11999999999998</v>
      </c>
    </row>
    <row r="135" spans="1:5" s="5" customFormat="1" ht="25.5" customHeight="1">
      <c r="A135" s="104">
        <f t="shared" si="1"/>
        <v>130</v>
      </c>
      <c r="B135" s="85" t="s">
        <v>933</v>
      </c>
      <c r="C135" s="178" t="s">
        <v>58</v>
      </c>
      <c r="D135" s="99">
        <v>1.1599999999999999</v>
      </c>
      <c r="E135" s="99">
        <v>303.91999999999996</v>
      </c>
    </row>
    <row r="136" spans="1:5" s="5" customFormat="1" ht="25.5" customHeight="1">
      <c r="A136" s="104">
        <f t="shared" si="1"/>
        <v>131</v>
      </c>
      <c r="B136" s="85" t="s">
        <v>932</v>
      </c>
      <c r="C136" s="178" t="s">
        <v>58</v>
      </c>
      <c r="D136" s="99">
        <v>1.1599999999999999</v>
      </c>
      <c r="E136" s="99">
        <v>47.559999999999995</v>
      </c>
    </row>
    <row r="137" spans="1:5" s="5" customFormat="1" ht="25.5" customHeight="1">
      <c r="A137" s="104">
        <f t="shared" si="1"/>
        <v>132</v>
      </c>
      <c r="B137" s="85" t="s">
        <v>931</v>
      </c>
      <c r="C137" s="178" t="s">
        <v>58</v>
      </c>
      <c r="D137" s="99">
        <v>1.1599999999999999</v>
      </c>
      <c r="E137" s="99">
        <v>31.319999999999997</v>
      </c>
    </row>
    <row r="138" spans="1:5" s="5" customFormat="1" ht="25.5" customHeight="1">
      <c r="A138" s="104">
        <f t="shared" si="1"/>
        <v>133</v>
      </c>
      <c r="B138" s="85" t="s">
        <v>930</v>
      </c>
      <c r="C138" s="178" t="s">
        <v>58</v>
      </c>
      <c r="D138" s="99">
        <v>1.1599999999999999</v>
      </c>
      <c r="E138" s="99">
        <v>60.319999999999993</v>
      </c>
    </row>
    <row r="139" spans="1:5" s="5" customFormat="1" ht="25.5" customHeight="1">
      <c r="A139" s="104">
        <f t="shared" ref="A139:A202" si="2">A138+1</f>
        <v>134</v>
      </c>
      <c r="B139" s="85" t="s">
        <v>929</v>
      </c>
      <c r="C139" s="178" t="s">
        <v>58</v>
      </c>
      <c r="D139" s="99">
        <v>1.1599999999999999</v>
      </c>
      <c r="E139" s="99">
        <v>56.839999999999996</v>
      </c>
    </row>
    <row r="140" spans="1:5" s="5" customFormat="1" ht="25.5" customHeight="1">
      <c r="A140" s="104">
        <f t="shared" si="2"/>
        <v>135</v>
      </c>
      <c r="B140" s="85" t="s">
        <v>928</v>
      </c>
      <c r="C140" s="178" t="s">
        <v>58</v>
      </c>
      <c r="D140" s="99">
        <v>1.1599999999999999</v>
      </c>
      <c r="E140" s="99">
        <v>81.199999999999989</v>
      </c>
    </row>
    <row r="141" spans="1:5" s="5" customFormat="1" ht="25.5" customHeight="1">
      <c r="A141" s="104">
        <f t="shared" si="2"/>
        <v>136</v>
      </c>
      <c r="B141" s="85" t="s">
        <v>927</v>
      </c>
      <c r="C141" s="178" t="s">
        <v>58</v>
      </c>
      <c r="D141" s="99">
        <v>1.1599999999999999</v>
      </c>
      <c r="E141" s="99">
        <v>145</v>
      </c>
    </row>
    <row r="142" spans="1:5" s="5" customFormat="1" ht="25.5" customHeight="1">
      <c r="A142" s="104">
        <f t="shared" si="2"/>
        <v>137</v>
      </c>
      <c r="B142" s="85" t="s">
        <v>926</v>
      </c>
      <c r="C142" s="178" t="s">
        <v>58</v>
      </c>
      <c r="D142" s="99">
        <v>1.1599999999999999</v>
      </c>
      <c r="E142" s="99">
        <v>10.44</v>
      </c>
    </row>
    <row r="143" spans="1:5" s="5" customFormat="1" ht="25.5" customHeight="1">
      <c r="A143" s="104">
        <f t="shared" si="2"/>
        <v>138</v>
      </c>
      <c r="B143" s="85" t="s">
        <v>925</v>
      </c>
      <c r="C143" s="178" t="s">
        <v>58</v>
      </c>
      <c r="D143" s="99">
        <v>1.1599999999999999</v>
      </c>
      <c r="E143" s="99">
        <v>5.8</v>
      </c>
    </row>
    <row r="144" spans="1:5" s="5" customFormat="1" ht="25.5" customHeight="1">
      <c r="A144" s="104">
        <f t="shared" si="2"/>
        <v>139</v>
      </c>
      <c r="B144" s="85" t="s">
        <v>924</v>
      </c>
      <c r="C144" s="178" t="s">
        <v>58</v>
      </c>
      <c r="D144" s="99">
        <v>1.1599999999999999</v>
      </c>
      <c r="E144" s="99">
        <v>28.999999999999996</v>
      </c>
    </row>
    <row r="145" spans="1:5" s="5" customFormat="1" ht="25.5" customHeight="1">
      <c r="A145" s="104">
        <f t="shared" si="2"/>
        <v>140</v>
      </c>
      <c r="B145" s="85" t="s">
        <v>923</v>
      </c>
      <c r="C145" s="178" t="s">
        <v>58</v>
      </c>
      <c r="D145" s="99">
        <v>1.1599999999999999</v>
      </c>
      <c r="E145" s="99">
        <v>92.8</v>
      </c>
    </row>
    <row r="146" spans="1:5" s="5" customFormat="1" ht="25.5" customHeight="1">
      <c r="A146" s="104">
        <f t="shared" si="2"/>
        <v>141</v>
      </c>
      <c r="B146" s="85" t="s">
        <v>922</v>
      </c>
      <c r="C146" s="178" t="s">
        <v>58</v>
      </c>
      <c r="D146" s="99">
        <v>1.1599999999999999</v>
      </c>
      <c r="E146" s="99">
        <v>522</v>
      </c>
    </row>
    <row r="147" spans="1:5" s="5" customFormat="1" ht="25.5" customHeight="1">
      <c r="A147" s="104">
        <f t="shared" si="2"/>
        <v>142</v>
      </c>
      <c r="B147" s="85" t="s">
        <v>921</v>
      </c>
      <c r="C147" s="178" t="s">
        <v>58</v>
      </c>
      <c r="D147" s="99">
        <v>1.1599999999999999</v>
      </c>
      <c r="E147" s="99">
        <v>135.72</v>
      </c>
    </row>
    <row r="148" spans="1:5" s="5" customFormat="1" ht="25.5" customHeight="1">
      <c r="A148" s="104">
        <f t="shared" si="2"/>
        <v>143</v>
      </c>
      <c r="B148" s="85" t="s">
        <v>920</v>
      </c>
      <c r="C148" s="178" t="s">
        <v>58</v>
      </c>
      <c r="D148" s="99">
        <v>1.1599999999999999</v>
      </c>
      <c r="E148" s="99">
        <v>55.679999999999993</v>
      </c>
    </row>
    <row r="149" spans="1:5" s="5" customFormat="1" ht="25.5" customHeight="1">
      <c r="A149" s="104">
        <f t="shared" si="2"/>
        <v>144</v>
      </c>
      <c r="B149" s="85" t="s">
        <v>919</v>
      </c>
      <c r="C149" s="178" t="s">
        <v>58</v>
      </c>
      <c r="D149" s="99">
        <v>1.1599999999999999</v>
      </c>
      <c r="E149" s="99">
        <v>55.679999999999993</v>
      </c>
    </row>
    <row r="150" spans="1:5" s="5" customFormat="1" ht="25.5" customHeight="1">
      <c r="A150" s="104">
        <f t="shared" si="2"/>
        <v>145</v>
      </c>
      <c r="B150" s="85" t="s">
        <v>918</v>
      </c>
      <c r="C150" s="178" t="s">
        <v>58</v>
      </c>
      <c r="D150" s="99">
        <v>1.1599999999999999</v>
      </c>
      <c r="E150" s="99">
        <v>1142.5999999999999</v>
      </c>
    </row>
    <row r="151" spans="1:5" s="5" customFormat="1" ht="25.5" customHeight="1">
      <c r="A151" s="104">
        <f t="shared" si="2"/>
        <v>146</v>
      </c>
      <c r="B151" s="85" t="s">
        <v>917</v>
      </c>
      <c r="C151" s="178" t="s">
        <v>58</v>
      </c>
      <c r="D151" s="99">
        <v>1.1599999999999999</v>
      </c>
      <c r="E151" s="99">
        <v>320.15999999999997</v>
      </c>
    </row>
    <row r="152" spans="1:5" s="5" customFormat="1" ht="25.5" customHeight="1">
      <c r="A152" s="104">
        <f t="shared" si="2"/>
        <v>147</v>
      </c>
      <c r="B152" s="85" t="s">
        <v>916</v>
      </c>
      <c r="C152" s="178" t="s">
        <v>58</v>
      </c>
      <c r="D152" s="99">
        <v>1.1599999999999999</v>
      </c>
      <c r="E152" s="99">
        <v>257.52</v>
      </c>
    </row>
    <row r="153" spans="1:5" s="5" customFormat="1" ht="25.5" customHeight="1">
      <c r="A153" s="104">
        <f t="shared" si="2"/>
        <v>148</v>
      </c>
      <c r="B153" s="85" t="s">
        <v>915</v>
      </c>
      <c r="C153" s="178" t="s">
        <v>58</v>
      </c>
      <c r="D153" s="99">
        <v>1.1599999999999999</v>
      </c>
      <c r="E153" s="99">
        <v>76.559999999999988</v>
      </c>
    </row>
    <row r="154" spans="1:5" s="5" customFormat="1" ht="25.5" customHeight="1">
      <c r="A154" s="104">
        <f t="shared" si="2"/>
        <v>149</v>
      </c>
      <c r="B154" s="85" t="s">
        <v>914</v>
      </c>
      <c r="C154" s="178" t="s">
        <v>58</v>
      </c>
      <c r="D154" s="99">
        <v>1.1599999999999999</v>
      </c>
      <c r="E154" s="99">
        <v>102.08</v>
      </c>
    </row>
    <row r="155" spans="1:5" s="5" customFormat="1" ht="25.5" customHeight="1">
      <c r="A155" s="104">
        <f t="shared" si="2"/>
        <v>150</v>
      </c>
      <c r="B155" s="85" t="s">
        <v>913</v>
      </c>
      <c r="C155" s="178" t="s">
        <v>58</v>
      </c>
      <c r="D155" s="99">
        <v>1.1599999999999999</v>
      </c>
      <c r="E155" s="99">
        <v>196.04</v>
      </c>
    </row>
    <row r="156" spans="1:5" s="5" customFormat="1" ht="25.5" customHeight="1">
      <c r="A156" s="104">
        <f t="shared" si="2"/>
        <v>151</v>
      </c>
      <c r="B156" s="85" t="s">
        <v>912</v>
      </c>
      <c r="C156" s="178" t="s">
        <v>58</v>
      </c>
      <c r="D156" s="99">
        <v>1.1599999999999999</v>
      </c>
      <c r="E156" s="99">
        <v>129.91999999999999</v>
      </c>
    </row>
    <row r="157" spans="1:5" s="5" customFormat="1" ht="25.5" customHeight="1">
      <c r="A157" s="104">
        <f t="shared" si="2"/>
        <v>152</v>
      </c>
      <c r="B157" s="85" t="s">
        <v>911</v>
      </c>
      <c r="C157" s="178" t="s">
        <v>58</v>
      </c>
      <c r="D157" s="99">
        <v>1.1599999999999999</v>
      </c>
      <c r="E157" s="99">
        <v>258.68</v>
      </c>
    </row>
    <row r="158" spans="1:5" s="5" customFormat="1" ht="25.5" customHeight="1">
      <c r="A158" s="104">
        <f t="shared" si="2"/>
        <v>153</v>
      </c>
      <c r="B158" s="85" t="s">
        <v>910</v>
      </c>
      <c r="C158" s="178" t="s">
        <v>58</v>
      </c>
      <c r="D158" s="99">
        <v>1.1599999999999999</v>
      </c>
      <c r="E158" s="99">
        <v>336.4</v>
      </c>
    </row>
    <row r="159" spans="1:5" s="5" customFormat="1" ht="25.5" customHeight="1">
      <c r="A159" s="104">
        <f t="shared" si="2"/>
        <v>154</v>
      </c>
      <c r="B159" s="85" t="s">
        <v>909</v>
      </c>
      <c r="C159" s="178" t="s">
        <v>58</v>
      </c>
      <c r="D159" s="99">
        <v>1.1599999999999999</v>
      </c>
      <c r="E159" s="99">
        <v>25.52</v>
      </c>
    </row>
    <row r="160" spans="1:5" s="5" customFormat="1" ht="25.5" customHeight="1">
      <c r="A160" s="104">
        <f t="shared" si="2"/>
        <v>155</v>
      </c>
      <c r="B160" s="85" t="s">
        <v>908</v>
      </c>
      <c r="C160" s="178" t="s">
        <v>58</v>
      </c>
      <c r="D160" s="99">
        <v>1.1599999999999999</v>
      </c>
      <c r="E160" s="99">
        <v>9.2799999999999994</v>
      </c>
    </row>
    <row r="161" spans="1:5" s="5" customFormat="1" ht="25.5" customHeight="1">
      <c r="A161" s="104">
        <f t="shared" si="2"/>
        <v>156</v>
      </c>
      <c r="B161" s="85" t="s">
        <v>907</v>
      </c>
      <c r="C161" s="178" t="s">
        <v>58</v>
      </c>
      <c r="D161" s="99">
        <v>1.1599999999999999</v>
      </c>
      <c r="E161" s="99">
        <v>27.839999999999996</v>
      </c>
    </row>
    <row r="162" spans="1:5" s="5" customFormat="1" ht="25.5" customHeight="1">
      <c r="A162" s="104">
        <f t="shared" si="2"/>
        <v>157</v>
      </c>
      <c r="B162" s="85" t="s">
        <v>906</v>
      </c>
      <c r="C162" s="178" t="s">
        <v>58</v>
      </c>
      <c r="D162" s="99">
        <v>1.1599999999999999</v>
      </c>
      <c r="E162" s="99">
        <v>219.23999999999998</v>
      </c>
    </row>
    <row r="163" spans="1:5" s="5" customFormat="1" ht="25.5" customHeight="1">
      <c r="A163" s="104">
        <f t="shared" si="2"/>
        <v>158</v>
      </c>
      <c r="B163" s="85" t="s">
        <v>905</v>
      </c>
      <c r="C163" s="178" t="s">
        <v>58</v>
      </c>
      <c r="D163" s="99">
        <v>1.1599999999999999</v>
      </c>
      <c r="E163" s="99">
        <v>714.56</v>
      </c>
    </row>
    <row r="164" spans="1:5" s="5" customFormat="1" ht="25.5" customHeight="1">
      <c r="A164" s="104">
        <f t="shared" si="2"/>
        <v>159</v>
      </c>
      <c r="B164" s="85" t="s">
        <v>904</v>
      </c>
      <c r="C164" s="178" t="s">
        <v>58</v>
      </c>
      <c r="D164" s="99">
        <v>1.1599999999999999</v>
      </c>
      <c r="E164" s="99">
        <v>206.48</v>
      </c>
    </row>
    <row r="165" spans="1:5" s="5" customFormat="1" ht="25.5" customHeight="1">
      <c r="A165" s="104">
        <f t="shared" si="2"/>
        <v>160</v>
      </c>
      <c r="B165" s="85" t="s">
        <v>903</v>
      </c>
      <c r="C165" s="178" t="s">
        <v>58</v>
      </c>
      <c r="D165" s="99">
        <v>1.1599999999999999</v>
      </c>
      <c r="E165" s="99">
        <v>69.599999999999994</v>
      </c>
    </row>
    <row r="166" spans="1:5" s="5" customFormat="1" ht="25.5" customHeight="1">
      <c r="A166" s="104">
        <f t="shared" si="2"/>
        <v>161</v>
      </c>
      <c r="B166" s="85" t="s">
        <v>902</v>
      </c>
      <c r="C166" s="178" t="s">
        <v>58</v>
      </c>
      <c r="D166" s="99">
        <v>1.1599999999999999</v>
      </c>
      <c r="E166" s="99">
        <v>69.599999999999994</v>
      </c>
    </row>
    <row r="167" spans="1:5" s="5" customFormat="1" ht="25.5" customHeight="1">
      <c r="A167" s="104">
        <f t="shared" si="2"/>
        <v>162</v>
      </c>
      <c r="B167" s="85" t="s">
        <v>901</v>
      </c>
      <c r="C167" s="178" t="s">
        <v>58</v>
      </c>
      <c r="D167" s="99">
        <v>1.1599999999999999</v>
      </c>
      <c r="E167" s="99">
        <v>1697.08</v>
      </c>
    </row>
    <row r="168" spans="1:5" s="5" customFormat="1" ht="25.5" customHeight="1">
      <c r="A168" s="104">
        <f t="shared" si="2"/>
        <v>163</v>
      </c>
      <c r="B168" s="85" t="s">
        <v>900</v>
      </c>
      <c r="C168" s="178" t="s">
        <v>58</v>
      </c>
      <c r="D168" s="99">
        <v>1.1599999999999999</v>
      </c>
      <c r="E168" s="99">
        <v>400.2</v>
      </c>
    </row>
    <row r="169" spans="1:5" s="5" customFormat="1" ht="25.5" customHeight="1">
      <c r="A169" s="104">
        <f t="shared" si="2"/>
        <v>164</v>
      </c>
      <c r="B169" s="85" t="s">
        <v>899</v>
      </c>
      <c r="C169" s="178" t="s">
        <v>58</v>
      </c>
      <c r="D169" s="99">
        <v>1.1599999999999999</v>
      </c>
      <c r="E169" s="99">
        <v>375.84</v>
      </c>
    </row>
    <row r="170" spans="1:5" s="5" customFormat="1" ht="25.5" customHeight="1">
      <c r="A170" s="104">
        <f t="shared" si="2"/>
        <v>165</v>
      </c>
      <c r="B170" s="85" t="s">
        <v>898</v>
      </c>
      <c r="C170" s="178" t="s">
        <v>58</v>
      </c>
      <c r="D170" s="99">
        <v>1.1599999999999999</v>
      </c>
      <c r="E170" s="99">
        <v>73.08</v>
      </c>
    </row>
    <row r="171" spans="1:5" s="5" customFormat="1" ht="25.5" customHeight="1">
      <c r="A171" s="104">
        <f t="shared" si="2"/>
        <v>166</v>
      </c>
      <c r="B171" s="85" t="s">
        <v>897</v>
      </c>
      <c r="C171" s="178" t="s">
        <v>58</v>
      </c>
      <c r="D171" s="99">
        <v>1.1599999999999999</v>
      </c>
      <c r="E171" s="99">
        <v>110.19999999999999</v>
      </c>
    </row>
    <row r="172" spans="1:5" s="5" customFormat="1" ht="25.5" customHeight="1">
      <c r="A172" s="104">
        <f t="shared" si="2"/>
        <v>167</v>
      </c>
      <c r="B172" s="85" t="s">
        <v>896</v>
      </c>
      <c r="C172" s="178" t="s">
        <v>58</v>
      </c>
      <c r="D172" s="99">
        <v>1.1599999999999999</v>
      </c>
      <c r="E172" s="99">
        <v>480.23999999999995</v>
      </c>
    </row>
    <row r="173" spans="1:5" s="5" customFormat="1" ht="25.5" customHeight="1">
      <c r="A173" s="104">
        <f t="shared" si="2"/>
        <v>168</v>
      </c>
      <c r="B173" s="85" t="s">
        <v>895</v>
      </c>
      <c r="C173" s="178" t="s">
        <v>58</v>
      </c>
      <c r="D173" s="99">
        <v>1.1599999999999999</v>
      </c>
      <c r="E173" s="99">
        <v>155.44</v>
      </c>
    </row>
    <row r="174" spans="1:5" s="5" customFormat="1" ht="25.5" customHeight="1">
      <c r="A174" s="104">
        <f t="shared" si="2"/>
        <v>169</v>
      </c>
      <c r="B174" s="85" t="s">
        <v>894</v>
      </c>
      <c r="C174" s="178" t="s">
        <v>58</v>
      </c>
      <c r="D174" s="99">
        <v>1.1599999999999999</v>
      </c>
      <c r="E174" s="99">
        <v>203</v>
      </c>
    </row>
    <row r="175" spans="1:5" s="5" customFormat="1" ht="25.5" customHeight="1">
      <c r="A175" s="104">
        <f t="shared" si="2"/>
        <v>170</v>
      </c>
      <c r="B175" s="85" t="s">
        <v>893</v>
      </c>
      <c r="C175" s="178" t="s">
        <v>58</v>
      </c>
      <c r="D175" s="99">
        <v>1.1599999999999999</v>
      </c>
      <c r="E175" s="99">
        <v>469.79999999999995</v>
      </c>
    </row>
    <row r="176" spans="1:5" s="5" customFormat="1" ht="25.5" customHeight="1">
      <c r="A176" s="104">
        <f t="shared" si="2"/>
        <v>171</v>
      </c>
      <c r="B176" s="85" t="s">
        <v>892</v>
      </c>
      <c r="C176" s="178" t="s">
        <v>58</v>
      </c>
      <c r="D176" s="99">
        <v>1.1599999999999999</v>
      </c>
      <c r="E176" s="99">
        <v>75.399999999999991</v>
      </c>
    </row>
    <row r="177" spans="1:5" s="5" customFormat="1" ht="25.5" customHeight="1">
      <c r="A177" s="104">
        <f t="shared" si="2"/>
        <v>172</v>
      </c>
      <c r="B177" s="85" t="s">
        <v>891</v>
      </c>
      <c r="C177" s="178" t="s">
        <v>58</v>
      </c>
      <c r="D177" s="99">
        <v>1.1599999999999999</v>
      </c>
      <c r="E177" s="99">
        <v>17.167999999999999</v>
      </c>
    </row>
    <row r="178" spans="1:5" s="5" customFormat="1" ht="25.5" customHeight="1">
      <c r="A178" s="104">
        <f t="shared" si="2"/>
        <v>173</v>
      </c>
      <c r="B178" s="85" t="s">
        <v>890</v>
      </c>
      <c r="C178" s="178" t="s">
        <v>58</v>
      </c>
      <c r="D178" s="99">
        <v>1.1599999999999999</v>
      </c>
      <c r="E178" s="99">
        <v>44.08</v>
      </c>
    </row>
    <row r="179" spans="1:5" s="5" customFormat="1" ht="25.5" customHeight="1">
      <c r="A179" s="104">
        <f t="shared" si="2"/>
        <v>174</v>
      </c>
      <c r="B179" s="85" t="s">
        <v>889</v>
      </c>
      <c r="C179" s="178" t="s">
        <v>58</v>
      </c>
      <c r="D179" s="99">
        <v>1.1599999999999999</v>
      </c>
      <c r="E179" s="99">
        <v>609</v>
      </c>
    </row>
    <row r="180" spans="1:5" s="5" customFormat="1" ht="25.5" customHeight="1">
      <c r="A180" s="104">
        <f t="shared" si="2"/>
        <v>175</v>
      </c>
      <c r="B180" s="85" t="s">
        <v>888</v>
      </c>
      <c r="C180" s="178" t="s">
        <v>58</v>
      </c>
      <c r="D180" s="99">
        <v>1.1599999999999999</v>
      </c>
      <c r="E180" s="99">
        <v>667</v>
      </c>
    </row>
    <row r="181" spans="1:5" s="5" customFormat="1" ht="25.5" customHeight="1">
      <c r="A181" s="104">
        <f t="shared" si="2"/>
        <v>176</v>
      </c>
      <c r="B181" s="85" t="s">
        <v>887</v>
      </c>
      <c r="C181" s="178" t="s">
        <v>58</v>
      </c>
      <c r="D181" s="99">
        <v>1.1599999999999999</v>
      </c>
      <c r="E181" s="99">
        <v>1614.7199999999998</v>
      </c>
    </row>
    <row r="182" spans="1:5" s="5" customFormat="1" ht="25.5" customHeight="1">
      <c r="A182" s="104">
        <f t="shared" si="2"/>
        <v>177</v>
      </c>
      <c r="B182" s="85" t="s">
        <v>886</v>
      </c>
      <c r="C182" s="178" t="s">
        <v>58</v>
      </c>
      <c r="D182" s="99">
        <v>1.1599999999999999</v>
      </c>
      <c r="E182" s="99">
        <v>1559.04</v>
      </c>
    </row>
    <row r="183" spans="1:5" s="5" customFormat="1" ht="25.5" customHeight="1">
      <c r="A183" s="104">
        <f t="shared" si="2"/>
        <v>178</v>
      </c>
      <c r="B183" s="85" t="s">
        <v>885</v>
      </c>
      <c r="C183" s="178" t="s">
        <v>58</v>
      </c>
      <c r="D183" s="99">
        <v>1.1599999999999999</v>
      </c>
      <c r="E183" s="99">
        <v>1374.6</v>
      </c>
    </row>
    <row r="184" spans="1:5" s="5" customFormat="1" ht="25.5" customHeight="1">
      <c r="A184" s="104">
        <f t="shared" si="2"/>
        <v>179</v>
      </c>
      <c r="B184" s="85" t="s">
        <v>884</v>
      </c>
      <c r="C184" s="178" t="s">
        <v>58</v>
      </c>
      <c r="D184" s="99">
        <v>1.1599999999999999</v>
      </c>
      <c r="E184" s="99">
        <v>293.47999999999996</v>
      </c>
    </row>
    <row r="185" spans="1:5" s="5" customFormat="1" ht="25.5" customHeight="1">
      <c r="A185" s="104">
        <f t="shared" si="2"/>
        <v>180</v>
      </c>
      <c r="B185" s="85" t="s">
        <v>883</v>
      </c>
      <c r="C185" s="178" t="s">
        <v>58</v>
      </c>
      <c r="D185" s="99">
        <v>1.1599999999999999</v>
      </c>
      <c r="E185" s="99">
        <v>293.47999999999996</v>
      </c>
    </row>
    <row r="186" spans="1:5" s="5" customFormat="1" ht="25.5" customHeight="1">
      <c r="A186" s="104">
        <f t="shared" si="2"/>
        <v>181</v>
      </c>
      <c r="B186" s="85" t="s">
        <v>882</v>
      </c>
      <c r="C186" s="178" t="s">
        <v>58</v>
      </c>
      <c r="D186" s="99">
        <v>1.1599999999999999</v>
      </c>
      <c r="E186" s="99">
        <v>4315.2</v>
      </c>
    </row>
    <row r="187" spans="1:5" s="5" customFormat="1" ht="25.5" customHeight="1">
      <c r="A187" s="104">
        <f t="shared" si="2"/>
        <v>182</v>
      </c>
      <c r="B187" s="85" t="s">
        <v>881</v>
      </c>
      <c r="C187" s="178" t="s">
        <v>58</v>
      </c>
      <c r="D187" s="99">
        <v>1.1599999999999999</v>
      </c>
      <c r="E187" s="99">
        <v>1577.6</v>
      </c>
    </row>
    <row r="188" spans="1:5" s="5" customFormat="1" ht="25.5" customHeight="1">
      <c r="A188" s="104">
        <f t="shared" si="2"/>
        <v>183</v>
      </c>
      <c r="B188" s="85" t="s">
        <v>880</v>
      </c>
      <c r="C188" s="178" t="s">
        <v>58</v>
      </c>
      <c r="D188" s="99">
        <v>1.1599999999999999</v>
      </c>
      <c r="E188" s="99">
        <v>1243.52</v>
      </c>
    </row>
    <row r="189" spans="1:5" s="5" customFormat="1" ht="25.5" customHeight="1">
      <c r="A189" s="104">
        <f t="shared" si="2"/>
        <v>184</v>
      </c>
      <c r="B189" s="85" t="s">
        <v>879</v>
      </c>
      <c r="C189" s="178" t="s">
        <v>58</v>
      </c>
      <c r="D189" s="99">
        <v>1.1599999999999999</v>
      </c>
      <c r="E189" s="99">
        <v>1581.08</v>
      </c>
    </row>
    <row r="190" spans="1:5" s="5" customFormat="1" ht="25.5" customHeight="1">
      <c r="A190" s="104">
        <f t="shared" si="2"/>
        <v>185</v>
      </c>
      <c r="B190" s="85" t="s">
        <v>878</v>
      </c>
      <c r="C190" s="178" t="s">
        <v>58</v>
      </c>
      <c r="D190" s="99">
        <v>1.1599999999999999</v>
      </c>
      <c r="E190" s="99">
        <v>641.4799999999999</v>
      </c>
    </row>
    <row r="191" spans="1:5" s="5" customFormat="1" ht="25.5" customHeight="1">
      <c r="A191" s="104">
        <f t="shared" si="2"/>
        <v>186</v>
      </c>
      <c r="B191" s="85" t="s">
        <v>877</v>
      </c>
      <c r="C191" s="178" t="s">
        <v>58</v>
      </c>
      <c r="D191" s="99">
        <v>1.1599999999999999</v>
      </c>
      <c r="E191" s="99">
        <v>2128.6</v>
      </c>
    </row>
    <row r="192" spans="1:5" s="5" customFormat="1" ht="25.5" customHeight="1">
      <c r="A192" s="104">
        <f t="shared" si="2"/>
        <v>187</v>
      </c>
      <c r="B192" s="85" t="s">
        <v>876</v>
      </c>
      <c r="C192" s="178" t="s">
        <v>58</v>
      </c>
      <c r="D192" s="99">
        <v>1.1599999999999999</v>
      </c>
      <c r="E192" s="99">
        <v>451.23999999999995</v>
      </c>
    </row>
    <row r="193" spans="1:5" s="5" customFormat="1" ht="25.5" customHeight="1">
      <c r="A193" s="104">
        <f t="shared" si="2"/>
        <v>188</v>
      </c>
      <c r="B193" s="85" t="s">
        <v>875</v>
      </c>
      <c r="C193" s="178" t="s">
        <v>58</v>
      </c>
      <c r="D193" s="99">
        <v>1.1599999999999999</v>
      </c>
      <c r="E193" s="99">
        <v>1160</v>
      </c>
    </row>
    <row r="194" spans="1:5" s="5" customFormat="1" ht="25.5" customHeight="1">
      <c r="A194" s="104">
        <f t="shared" si="2"/>
        <v>189</v>
      </c>
      <c r="B194" s="85" t="s">
        <v>874</v>
      </c>
      <c r="C194" s="178" t="s">
        <v>58</v>
      </c>
      <c r="D194" s="99">
        <v>1.1599999999999999</v>
      </c>
      <c r="E194" s="99">
        <v>1931.3999999999999</v>
      </c>
    </row>
    <row r="195" spans="1:5" s="5" customFormat="1" ht="25.5" customHeight="1">
      <c r="A195" s="104">
        <f t="shared" si="2"/>
        <v>190</v>
      </c>
      <c r="B195" s="85" t="s">
        <v>873</v>
      </c>
      <c r="C195" s="178" t="s">
        <v>58</v>
      </c>
      <c r="D195" s="99">
        <v>1.1599999999999999</v>
      </c>
      <c r="E195" s="99">
        <v>272.59999999999997</v>
      </c>
    </row>
    <row r="196" spans="1:5" s="5" customFormat="1" ht="25.5" customHeight="1">
      <c r="A196" s="104">
        <f t="shared" si="2"/>
        <v>191</v>
      </c>
      <c r="B196" s="85" t="s">
        <v>872</v>
      </c>
      <c r="C196" s="178" t="s">
        <v>58</v>
      </c>
      <c r="D196" s="99">
        <v>1.1599999999999999</v>
      </c>
      <c r="E196" s="99">
        <v>52.199999999999996</v>
      </c>
    </row>
    <row r="197" spans="1:5" s="5" customFormat="1" ht="25.5" customHeight="1">
      <c r="A197" s="104">
        <f t="shared" si="2"/>
        <v>192</v>
      </c>
      <c r="B197" s="85" t="s">
        <v>871</v>
      </c>
      <c r="C197" s="178" t="s">
        <v>58</v>
      </c>
      <c r="D197" s="99">
        <v>1.1599999999999999</v>
      </c>
      <c r="E197" s="99">
        <v>75.399999999999991</v>
      </c>
    </row>
    <row r="198" spans="1:5" s="5" customFormat="1" ht="25.5" customHeight="1">
      <c r="A198" s="104">
        <f t="shared" si="2"/>
        <v>193</v>
      </c>
      <c r="B198" s="85" t="s">
        <v>870</v>
      </c>
      <c r="C198" s="178" t="s">
        <v>58</v>
      </c>
      <c r="D198" s="99">
        <v>1.1599999999999999</v>
      </c>
      <c r="E198" s="99">
        <v>2192.3999999999996</v>
      </c>
    </row>
    <row r="199" spans="1:5" s="5" customFormat="1" ht="25.5" customHeight="1">
      <c r="A199" s="104">
        <f t="shared" si="2"/>
        <v>194</v>
      </c>
      <c r="B199" s="85" t="s">
        <v>869</v>
      </c>
      <c r="C199" s="178" t="s">
        <v>58</v>
      </c>
      <c r="D199" s="99">
        <v>1.1599999999999999</v>
      </c>
      <c r="E199" s="99">
        <v>348</v>
      </c>
    </row>
    <row r="200" spans="1:5" s="5" customFormat="1" ht="25.5" customHeight="1">
      <c r="A200" s="104">
        <f t="shared" si="2"/>
        <v>195</v>
      </c>
      <c r="B200" s="85" t="s">
        <v>868</v>
      </c>
      <c r="C200" s="178" t="s">
        <v>58</v>
      </c>
      <c r="D200" s="99">
        <v>1.1599999999999999</v>
      </c>
      <c r="E200" s="99">
        <v>1676.1999999999998</v>
      </c>
    </row>
    <row r="201" spans="1:5" s="5" customFormat="1" ht="25.5" customHeight="1">
      <c r="A201" s="104">
        <f t="shared" si="2"/>
        <v>196</v>
      </c>
      <c r="B201" s="85" t="s">
        <v>867</v>
      </c>
      <c r="C201" s="178" t="s">
        <v>58</v>
      </c>
      <c r="D201" s="99">
        <v>1.1599999999999999</v>
      </c>
      <c r="E201" s="99">
        <v>249.39999999999998</v>
      </c>
    </row>
    <row r="202" spans="1:5" s="5" customFormat="1" ht="25.5" customHeight="1">
      <c r="A202" s="104">
        <f t="shared" si="2"/>
        <v>197</v>
      </c>
      <c r="B202" s="85" t="s">
        <v>866</v>
      </c>
      <c r="C202" s="178" t="s">
        <v>58</v>
      </c>
      <c r="D202" s="99">
        <v>1.1599999999999999</v>
      </c>
      <c r="E202" s="99">
        <v>15.079999999999998</v>
      </c>
    </row>
    <row r="203" spans="1:5" s="5" customFormat="1" ht="25.5" customHeight="1">
      <c r="A203" s="104">
        <f t="shared" ref="A203:A218" si="3">A202+1</f>
        <v>198</v>
      </c>
      <c r="B203" s="85" t="s">
        <v>865</v>
      </c>
      <c r="C203" s="178" t="s">
        <v>58</v>
      </c>
      <c r="D203" s="99">
        <v>1.1599999999999999</v>
      </c>
      <c r="E203" s="99">
        <v>4860.3999999999996</v>
      </c>
    </row>
    <row r="204" spans="1:5" s="5" customFormat="1" ht="25.5" customHeight="1">
      <c r="A204" s="104">
        <f t="shared" si="3"/>
        <v>199</v>
      </c>
      <c r="B204" s="85" t="s">
        <v>864</v>
      </c>
      <c r="C204" s="178" t="s">
        <v>58</v>
      </c>
      <c r="D204" s="99">
        <v>1.1599999999999999</v>
      </c>
      <c r="E204" s="99">
        <v>2837.3599999999997</v>
      </c>
    </row>
    <row r="205" spans="1:5" s="5" customFormat="1" ht="25.5" customHeight="1">
      <c r="A205" s="104">
        <f t="shared" si="3"/>
        <v>200</v>
      </c>
      <c r="B205" s="85" t="s">
        <v>863</v>
      </c>
      <c r="C205" s="178" t="s">
        <v>58</v>
      </c>
      <c r="D205" s="99">
        <v>1.1599999999999999</v>
      </c>
      <c r="E205" s="99">
        <v>1482.4799999999998</v>
      </c>
    </row>
    <row r="206" spans="1:5" s="5" customFormat="1" ht="25.5" customHeight="1">
      <c r="A206" s="104">
        <f t="shared" si="3"/>
        <v>201</v>
      </c>
      <c r="B206" s="85" t="s">
        <v>862</v>
      </c>
      <c r="C206" s="178" t="s">
        <v>58</v>
      </c>
      <c r="D206" s="99">
        <v>1.1599999999999999</v>
      </c>
      <c r="E206" s="99">
        <v>348</v>
      </c>
    </row>
    <row r="207" spans="1:5" s="5" customFormat="1" ht="25.5" customHeight="1">
      <c r="A207" s="104">
        <f t="shared" si="3"/>
        <v>202</v>
      </c>
      <c r="B207" s="85" t="s">
        <v>861</v>
      </c>
      <c r="C207" s="178" t="s">
        <v>58</v>
      </c>
      <c r="D207" s="99">
        <v>1.1599999999999999</v>
      </c>
      <c r="E207" s="99">
        <v>1531.1999999999998</v>
      </c>
    </row>
    <row r="208" spans="1:5" s="5" customFormat="1" ht="25.5" customHeight="1">
      <c r="A208" s="104">
        <f t="shared" si="3"/>
        <v>203</v>
      </c>
      <c r="B208" s="85" t="s">
        <v>860</v>
      </c>
      <c r="C208" s="178" t="s">
        <v>58</v>
      </c>
      <c r="D208" s="99">
        <v>1.1599999999999999</v>
      </c>
      <c r="E208" s="99">
        <v>2956.8399999999997</v>
      </c>
    </row>
    <row r="209" spans="1:5" s="5" customFormat="1" ht="25.5" customHeight="1">
      <c r="A209" s="104">
        <f t="shared" si="3"/>
        <v>204</v>
      </c>
      <c r="B209" s="85" t="s">
        <v>859</v>
      </c>
      <c r="C209" s="178" t="s">
        <v>58</v>
      </c>
      <c r="D209" s="99">
        <v>1.1599999999999999</v>
      </c>
      <c r="E209" s="99">
        <v>719.19999999999993</v>
      </c>
    </row>
    <row r="210" spans="1:5" s="5" customFormat="1" ht="25.5" customHeight="1">
      <c r="A210" s="104">
        <f t="shared" si="3"/>
        <v>205</v>
      </c>
      <c r="B210" s="85" t="s">
        <v>858</v>
      </c>
      <c r="C210" s="178" t="s">
        <v>58</v>
      </c>
      <c r="D210" s="99">
        <v>1.1599999999999999</v>
      </c>
      <c r="E210" s="99">
        <v>1617.04</v>
      </c>
    </row>
    <row r="211" spans="1:5" s="5" customFormat="1" ht="25.5" customHeight="1">
      <c r="A211" s="104">
        <f t="shared" si="3"/>
        <v>206</v>
      </c>
      <c r="B211" s="85" t="s">
        <v>857</v>
      </c>
      <c r="C211" s="178" t="s">
        <v>58</v>
      </c>
      <c r="D211" s="99">
        <v>1.1599999999999999</v>
      </c>
      <c r="E211" s="99">
        <v>2933.64</v>
      </c>
    </row>
    <row r="212" spans="1:5" s="5" customFormat="1" ht="25.5" customHeight="1">
      <c r="A212" s="104">
        <f t="shared" si="3"/>
        <v>207</v>
      </c>
      <c r="B212" s="85" t="s">
        <v>856</v>
      </c>
      <c r="C212" s="178" t="s">
        <v>58</v>
      </c>
      <c r="D212" s="99">
        <v>1.1599999999999999</v>
      </c>
      <c r="E212" s="99">
        <v>102.08</v>
      </c>
    </row>
    <row r="213" spans="1:5" s="5" customFormat="1" ht="25.5" customHeight="1">
      <c r="A213" s="104">
        <f t="shared" si="3"/>
        <v>208</v>
      </c>
      <c r="B213" s="85" t="s">
        <v>855</v>
      </c>
      <c r="C213" s="178" t="s">
        <v>58</v>
      </c>
      <c r="D213" s="99">
        <v>1.1599999999999999</v>
      </c>
      <c r="E213" s="99">
        <v>102.08</v>
      </c>
    </row>
    <row r="214" spans="1:5" s="5" customFormat="1" ht="25.5" customHeight="1">
      <c r="A214" s="104">
        <f t="shared" si="3"/>
        <v>209</v>
      </c>
      <c r="B214" s="85" t="s">
        <v>375</v>
      </c>
      <c r="C214" s="178" t="s">
        <v>58</v>
      </c>
      <c r="D214" s="99" t="s">
        <v>771</v>
      </c>
      <c r="E214" s="99">
        <f>146.69*1.18</f>
        <v>173.0942</v>
      </c>
    </row>
    <row r="215" spans="1:5" s="5" customFormat="1" ht="25.5" customHeight="1">
      <c r="A215" s="104">
        <f t="shared" si="3"/>
        <v>210</v>
      </c>
      <c r="B215" s="85" t="s">
        <v>537</v>
      </c>
      <c r="C215" s="178" t="s">
        <v>58</v>
      </c>
      <c r="D215" s="99" t="s">
        <v>771</v>
      </c>
      <c r="E215" s="99">
        <f>364.606*1.18</f>
        <v>430.23507999999998</v>
      </c>
    </row>
    <row r="216" spans="1:5" s="5" customFormat="1" ht="25.5" customHeight="1">
      <c r="A216" s="104">
        <f t="shared" si="3"/>
        <v>211</v>
      </c>
      <c r="B216" s="85" t="s">
        <v>538</v>
      </c>
      <c r="C216" s="178" t="s">
        <v>58</v>
      </c>
      <c r="D216" s="99" t="s">
        <v>771</v>
      </c>
      <c r="E216" s="99">
        <f>414.67*1.18</f>
        <v>489.31059999999997</v>
      </c>
    </row>
    <row r="217" spans="1:5" s="5" customFormat="1" ht="25.5" customHeight="1">
      <c r="A217" s="104">
        <f t="shared" si="3"/>
        <v>212</v>
      </c>
      <c r="B217" s="85" t="s">
        <v>539</v>
      </c>
      <c r="C217" s="178" t="s">
        <v>58</v>
      </c>
      <c r="D217" s="99" t="s">
        <v>771</v>
      </c>
      <c r="E217" s="99">
        <f>538.76*1.18</f>
        <v>635.7367999999999</v>
      </c>
    </row>
    <row r="218" spans="1:5" s="5" customFormat="1" ht="25.5" customHeight="1">
      <c r="A218" s="104">
        <f t="shared" si="3"/>
        <v>213</v>
      </c>
      <c r="B218" s="85" t="s">
        <v>549</v>
      </c>
      <c r="C218" s="178" t="s">
        <v>58</v>
      </c>
      <c r="D218" s="99" t="s">
        <v>771</v>
      </c>
      <c r="E218" s="99">
        <f>166.55*1.18</f>
        <v>196.529</v>
      </c>
    </row>
    <row r="220" spans="1:5" ht="12" customHeight="1"/>
    <row r="221" spans="1:5" hidden="1">
      <c r="B221" s="455" t="s">
        <v>1108</v>
      </c>
      <c r="C221" s="455"/>
      <c r="D221" s="455"/>
      <c r="E221" s="455"/>
    </row>
  </sheetData>
  <mergeCells count="3">
    <mergeCell ref="A2:E2"/>
    <mergeCell ref="A5:C5"/>
    <mergeCell ref="B221:E221"/>
  </mergeCells>
  <pageMargins left="0.74803149606299213" right="0.74803149606299213" top="0.98425196850393704" bottom="0.98425196850393704" header="0" footer="0"/>
  <pageSetup paperSize="9" scale="67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1"/>
  <sheetViews>
    <sheetView view="pageBreakPreview" zoomScale="60" zoomScaleNormal="100" workbookViewId="0">
      <selection activeCell="I14" sqref="I14"/>
    </sheetView>
  </sheetViews>
  <sheetFormatPr defaultColWidth="11.44140625" defaultRowHeight="14.4"/>
  <cols>
    <col min="1" max="1" width="11.44140625" style="177"/>
    <col min="2" max="2" width="76.6640625" style="177" customWidth="1"/>
    <col min="3" max="3" width="11.6640625" style="177" customWidth="1"/>
    <col min="4" max="4" width="22.88671875" style="177" customWidth="1"/>
    <col min="5" max="16384" width="11.44140625" style="177"/>
  </cols>
  <sheetData>
    <row r="1" spans="1:10" customFormat="1" ht="57.75" customHeight="1" thickBot="1">
      <c r="A1" s="253"/>
      <c r="B1" s="293"/>
      <c r="C1" s="294"/>
      <c r="D1" s="295"/>
      <c r="E1" s="237"/>
      <c r="F1" s="237"/>
      <c r="G1" s="237"/>
      <c r="H1" s="237"/>
      <c r="I1" s="237"/>
      <c r="J1" s="237"/>
    </row>
    <row r="2" spans="1:10" s="1" customFormat="1" ht="32.25" customHeight="1" thickBot="1">
      <c r="A2" s="450" t="s">
        <v>560</v>
      </c>
      <c r="B2" s="451"/>
      <c r="C2" s="451"/>
      <c r="D2" s="451"/>
    </row>
    <row r="3" spans="1:10" s="1" customFormat="1" ht="42" customHeight="1" thickBot="1">
      <c r="A3" s="136"/>
      <c r="B3" s="147" t="s">
        <v>1010</v>
      </c>
      <c r="C3" s="179"/>
      <c r="D3" s="179"/>
    </row>
    <row r="4" spans="1:10" s="5" customFormat="1" ht="29.25" customHeight="1" thickBot="1">
      <c r="A4" s="128" t="s">
        <v>563</v>
      </c>
      <c r="B4" s="137" t="s">
        <v>108</v>
      </c>
      <c r="C4" s="133" t="s">
        <v>58</v>
      </c>
      <c r="D4" s="133" t="s">
        <v>564</v>
      </c>
    </row>
    <row r="5" spans="1:10" ht="15" thickBot="1">
      <c r="A5" s="445" t="s">
        <v>565</v>
      </c>
      <c r="B5" s="446"/>
      <c r="C5" s="446"/>
      <c r="D5" s="446"/>
    </row>
    <row r="6" spans="1:10" s="3" customFormat="1" ht="18.600000000000001">
      <c r="A6" s="180">
        <v>1</v>
      </c>
      <c r="B6" s="84" t="s">
        <v>854</v>
      </c>
      <c r="C6" s="87" t="s">
        <v>58</v>
      </c>
      <c r="D6" s="83">
        <v>650</v>
      </c>
      <c r="E6" s="4"/>
      <c r="F6" s="4"/>
      <c r="G6" s="4"/>
    </row>
    <row r="7" spans="1:10" s="3" customFormat="1" ht="18.600000000000001">
      <c r="A7" s="153">
        <f>A6+1</f>
        <v>2</v>
      </c>
      <c r="B7" s="84" t="s">
        <v>853</v>
      </c>
      <c r="C7" s="87" t="s">
        <v>58</v>
      </c>
      <c r="D7" s="83">
        <v>650</v>
      </c>
      <c r="E7" s="4"/>
      <c r="F7" s="4"/>
      <c r="G7" s="4"/>
    </row>
    <row r="8" spans="1:10" s="3" customFormat="1" ht="18.600000000000001">
      <c r="A8" s="153">
        <f t="shared" ref="A8:A31" si="0">A7+1</f>
        <v>3</v>
      </c>
      <c r="B8" s="84" t="s">
        <v>852</v>
      </c>
      <c r="C8" s="87" t="s">
        <v>58</v>
      </c>
      <c r="D8" s="83">
        <v>650</v>
      </c>
      <c r="E8" s="4"/>
      <c r="F8" s="4"/>
      <c r="G8" s="4"/>
    </row>
    <row r="9" spans="1:10" s="3" customFormat="1" ht="32.4">
      <c r="A9" s="153">
        <f t="shared" si="0"/>
        <v>4</v>
      </c>
      <c r="B9" s="105" t="s">
        <v>850</v>
      </c>
      <c r="C9" s="87" t="s">
        <v>58</v>
      </c>
      <c r="D9" s="83">
        <v>800</v>
      </c>
      <c r="E9" s="4"/>
      <c r="F9" s="4"/>
      <c r="G9" s="4"/>
    </row>
    <row r="10" spans="1:10" s="3" customFormat="1" ht="18.600000000000001">
      <c r="A10" s="153">
        <f t="shared" si="0"/>
        <v>5</v>
      </c>
      <c r="B10" s="84" t="s">
        <v>848</v>
      </c>
      <c r="C10" s="87" t="s">
        <v>58</v>
      </c>
      <c r="D10" s="83">
        <v>600</v>
      </c>
      <c r="E10" s="4"/>
      <c r="F10" s="4"/>
      <c r="G10" s="4"/>
    </row>
    <row r="11" spans="1:10" s="3" customFormat="1" ht="18.600000000000001">
      <c r="A11" s="153">
        <f t="shared" si="0"/>
        <v>6</v>
      </c>
      <c r="B11" s="84" t="s">
        <v>845</v>
      </c>
      <c r="C11" s="87" t="s">
        <v>58</v>
      </c>
      <c r="D11" s="83">
        <v>700</v>
      </c>
      <c r="E11" s="4"/>
      <c r="F11" s="4"/>
      <c r="G11" s="4"/>
    </row>
    <row r="12" spans="1:10" s="3" customFormat="1" ht="18.600000000000001">
      <c r="A12" s="153">
        <f t="shared" si="0"/>
        <v>7</v>
      </c>
      <c r="B12" s="84" t="s">
        <v>843</v>
      </c>
      <c r="C12" s="87" t="s">
        <v>58</v>
      </c>
      <c r="D12" s="83">
        <v>900</v>
      </c>
      <c r="E12" s="4"/>
      <c r="F12" s="4"/>
      <c r="G12" s="4"/>
    </row>
    <row r="13" spans="1:10" s="3" customFormat="1" ht="18.600000000000001">
      <c r="A13" s="153">
        <f t="shared" si="0"/>
        <v>8</v>
      </c>
      <c r="B13" s="84" t="s">
        <v>838</v>
      </c>
      <c r="C13" s="87" t="s">
        <v>58</v>
      </c>
      <c r="D13" s="83">
        <v>800</v>
      </c>
      <c r="E13" s="4"/>
      <c r="F13" s="4"/>
      <c r="G13" s="4"/>
    </row>
    <row r="14" spans="1:10" s="3" customFormat="1" ht="18.600000000000001">
      <c r="A14" s="153">
        <f t="shared" si="0"/>
        <v>9</v>
      </c>
      <c r="B14" s="84" t="s">
        <v>836</v>
      </c>
      <c r="C14" s="87" t="s">
        <v>58</v>
      </c>
      <c r="D14" s="83">
        <v>1200</v>
      </c>
      <c r="E14" s="4"/>
      <c r="F14" s="4"/>
      <c r="G14" s="4"/>
    </row>
    <row r="15" spans="1:10" s="3" customFormat="1" ht="18.600000000000001">
      <c r="A15" s="153">
        <f t="shared" si="0"/>
        <v>10</v>
      </c>
      <c r="B15" s="84" t="s">
        <v>832</v>
      </c>
      <c r="C15" s="87" t="s">
        <v>58</v>
      </c>
      <c r="D15" s="83">
        <v>950</v>
      </c>
      <c r="E15" s="4"/>
      <c r="F15" s="4"/>
      <c r="G15" s="4"/>
    </row>
    <row r="16" spans="1:10" s="3" customFormat="1" ht="18.600000000000001">
      <c r="A16" s="153">
        <f t="shared" si="0"/>
        <v>11</v>
      </c>
      <c r="B16" s="84" t="s">
        <v>828</v>
      </c>
      <c r="C16" s="87" t="s">
        <v>58</v>
      </c>
      <c r="D16" s="83">
        <v>750</v>
      </c>
      <c r="E16" s="4"/>
      <c r="F16" s="4"/>
      <c r="G16" s="4"/>
    </row>
    <row r="17" spans="1:7" s="3" customFormat="1" ht="18.600000000000001">
      <c r="A17" s="153">
        <f t="shared" si="0"/>
        <v>12</v>
      </c>
      <c r="B17" s="84" t="s">
        <v>825</v>
      </c>
      <c r="C17" s="87" t="s">
        <v>58</v>
      </c>
      <c r="D17" s="83">
        <v>500</v>
      </c>
      <c r="E17" s="4"/>
      <c r="F17" s="4"/>
      <c r="G17" s="4"/>
    </row>
    <row r="18" spans="1:7" s="3" customFormat="1" ht="18.600000000000001">
      <c r="A18" s="153">
        <f t="shared" si="0"/>
        <v>13</v>
      </c>
      <c r="B18" s="84" t="s">
        <v>823</v>
      </c>
      <c r="C18" s="87" t="s">
        <v>58</v>
      </c>
      <c r="D18" s="83">
        <v>500</v>
      </c>
      <c r="E18" s="4"/>
      <c r="F18" s="4"/>
      <c r="G18" s="4"/>
    </row>
    <row r="19" spans="1:7" s="3" customFormat="1" ht="18.600000000000001">
      <c r="A19" s="153">
        <f t="shared" si="0"/>
        <v>14</v>
      </c>
      <c r="B19" s="84" t="s">
        <v>821</v>
      </c>
      <c r="C19" s="87" t="s">
        <v>58</v>
      </c>
      <c r="D19" s="83">
        <v>500</v>
      </c>
      <c r="E19" s="4"/>
      <c r="F19" s="4"/>
      <c r="G19" s="4"/>
    </row>
    <row r="20" spans="1:7" s="3" customFormat="1" ht="18.600000000000001">
      <c r="A20" s="153">
        <f t="shared" si="0"/>
        <v>15</v>
      </c>
      <c r="B20" s="84" t="s">
        <v>819</v>
      </c>
      <c r="C20" s="87" t="s">
        <v>58</v>
      </c>
      <c r="D20" s="83">
        <v>600</v>
      </c>
      <c r="E20" s="4"/>
      <c r="F20" s="4"/>
      <c r="G20" s="4"/>
    </row>
    <row r="21" spans="1:7" s="3" customFormat="1" ht="18.600000000000001">
      <c r="A21" s="153">
        <f t="shared" si="0"/>
        <v>16</v>
      </c>
      <c r="B21" s="84" t="s">
        <v>816</v>
      </c>
      <c r="C21" s="87" t="s">
        <v>58</v>
      </c>
      <c r="D21" s="83">
        <v>525</v>
      </c>
      <c r="E21" s="4"/>
      <c r="F21" s="4"/>
      <c r="G21" s="4"/>
    </row>
    <row r="22" spans="1:7" s="3" customFormat="1" ht="18.600000000000001">
      <c r="A22" s="153">
        <f t="shared" si="0"/>
        <v>17</v>
      </c>
      <c r="B22" s="84" t="s">
        <v>814</v>
      </c>
      <c r="C22" s="87" t="s">
        <v>58</v>
      </c>
      <c r="D22" s="83">
        <v>575</v>
      </c>
      <c r="E22" s="4"/>
      <c r="F22" s="4"/>
      <c r="G22" s="4"/>
    </row>
    <row r="23" spans="1:7" s="3" customFormat="1" ht="18.600000000000001">
      <c r="A23" s="153">
        <f t="shared" si="0"/>
        <v>18</v>
      </c>
      <c r="B23" s="84" t="s">
        <v>812</v>
      </c>
      <c r="C23" s="87" t="s">
        <v>58</v>
      </c>
      <c r="D23" s="83">
        <v>600</v>
      </c>
      <c r="E23" s="4"/>
      <c r="F23" s="4"/>
      <c r="G23" s="4"/>
    </row>
    <row r="24" spans="1:7" s="3" customFormat="1" ht="18.600000000000001">
      <c r="A24" s="153">
        <f t="shared" si="0"/>
        <v>19</v>
      </c>
      <c r="B24" s="84" t="s">
        <v>810</v>
      </c>
      <c r="C24" s="87" t="s">
        <v>58</v>
      </c>
      <c r="D24" s="83">
        <v>500</v>
      </c>
      <c r="E24" s="4"/>
      <c r="F24" s="4"/>
      <c r="G24" s="4"/>
    </row>
    <row r="25" spans="1:7" s="3" customFormat="1" ht="32.4">
      <c r="A25" s="153">
        <f t="shared" si="0"/>
        <v>20</v>
      </c>
      <c r="B25" s="105" t="s">
        <v>809</v>
      </c>
      <c r="C25" s="87" t="s">
        <v>58</v>
      </c>
      <c r="D25" s="83">
        <v>500</v>
      </c>
      <c r="E25" s="4"/>
      <c r="F25" s="4"/>
      <c r="G25" s="4"/>
    </row>
    <row r="26" spans="1:7" s="3" customFormat="1" ht="32.4">
      <c r="A26" s="153">
        <f t="shared" si="0"/>
        <v>21</v>
      </c>
      <c r="B26" s="105" t="s">
        <v>806</v>
      </c>
      <c r="C26" s="87" t="s">
        <v>58</v>
      </c>
      <c r="D26" s="83">
        <v>500</v>
      </c>
      <c r="E26" s="4"/>
      <c r="F26" s="4"/>
      <c r="G26" s="4"/>
    </row>
    <row r="27" spans="1:7" s="3" customFormat="1" ht="18.600000000000001">
      <c r="A27" s="153">
        <f t="shared" si="0"/>
        <v>22</v>
      </c>
      <c r="B27" s="84" t="s">
        <v>798</v>
      </c>
      <c r="C27" s="87" t="s">
        <v>58</v>
      </c>
      <c r="D27" s="83">
        <v>700</v>
      </c>
      <c r="E27" s="4"/>
      <c r="F27" s="4"/>
      <c r="G27" s="4"/>
    </row>
    <row r="28" spans="1:7" s="3" customFormat="1" ht="18.600000000000001">
      <c r="A28" s="153">
        <f t="shared" si="0"/>
        <v>23</v>
      </c>
      <c r="B28" s="84" t="s">
        <v>792</v>
      </c>
      <c r="C28" s="87" t="s">
        <v>58</v>
      </c>
      <c r="D28" s="83">
        <v>450</v>
      </c>
      <c r="E28" s="4"/>
      <c r="F28" s="4"/>
      <c r="G28" s="4"/>
    </row>
    <row r="29" spans="1:7" s="3" customFormat="1" ht="18.600000000000001">
      <c r="A29" s="153">
        <f t="shared" si="0"/>
        <v>24</v>
      </c>
      <c r="B29" s="84" t="s">
        <v>791</v>
      </c>
      <c r="C29" s="87" t="s">
        <v>58</v>
      </c>
      <c r="D29" s="83">
        <v>450</v>
      </c>
      <c r="E29" s="4"/>
      <c r="F29" s="4"/>
      <c r="G29" s="4"/>
    </row>
    <row r="30" spans="1:7" s="3" customFormat="1" ht="18.600000000000001">
      <c r="A30" s="153">
        <f t="shared" si="0"/>
        <v>25</v>
      </c>
      <c r="B30" s="84" t="s">
        <v>790</v>
      </c>
      <c r="C30" s="87" t="s">
        <v>58</v>
      </c>
      <c r="D30" s="83">
        <v>450</v>
      </c>
      <c r="E30" s="4"/>
      <c r="F30" s="4"/>
      <c r="G30" s="4"/>
    </row>
    <row r="31" spans="1:7" s="3" customFormat="1" ht="18.600000000000001">
      <c r="A31" s="153">
        <f t="shared" si="0"/>
        <v>26</v>
      </c>
      <c r="B31" s="84" t="s">
        <v>780</v>
      </c>
      <c r="C31" s="87" t="s">
        <v>58</v>
      </c>
      <c r="D31" s="83">
        <v>50</v>
      </c>
      <c r="E31" s="4"/>
      <c r="F31" s="4"/>
      <c r="G31" s="4"/>
    </row>
  </sheetData>
  <mergeCells count="2">
    <mergeCell ref="A2:D2"/>
    <mergeCell ref="A5:D5"/>
  </mergeCells>
  <pageMargins left="0.74803149606299213" right="0.74803149606299213" top="0.98425196850393704" bottom="0.98425196850393704" header="0" footer="0"/>
  <pageSetup paperSize="9" scale="68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9"/>
  <sheetViews>
    <sheetView view="pageBreakPreview" topLeftCell="A248" zoomScale="71" zoomScaleNormal="100" zoomScaleSheetLayoutView="71" workbookViewId="0">
      <pane ySplit="2352" activePane="bottomLeft"/>
      <selection activeCell="H273" sqref="H273"/>
      <selection pane="bottomLeft" activeCell="I8" sqref="I8"/>
    </sheetView>
  </sheetViews>
  <sheetFormatPr defaultColWidth="11.44140625" defaultRowHeight="15.6"/>
  <cols>
    <col min="1" max="1" width="13" style="154" customWidth="1"/>
    <col min="2" max="2" width="54.88671875" style="154" customWidth="1"/>
    <col min="3" max="3" width="17" style="154" customWidth="1"/>
    <col min="4" max="4" width="8.5546875" style="154" customWidth="1"/>
    <col min="5" max="5" width="19.33203125" style="154" customWidth="1"/>
    <col min="6" max="6" width="17.5546875" style="154" customWidth="1"/>
    <col min="7" max="112" width="11.44140625" style="154"/>
    <col min="113" max="113" width="55.33203125" style="154" customWidth="1"/>
    <col min="114" max="114" width="15.33203125" style="154" customWidth="1"/>
    <col min="115" max="116" width="11.44140625" style="154"/>
    <col min="117" max="117" width="16.6640625" style="154" customWidth="1"/>
    <col min="118" max="16384" width="11.44140625" style="154"/>
  </cols>
  <sheetData>
    <row r="1" spans="1:10" customFormat="1" ht="57.75" customHeight="1" thickBot="1">
      <c r="A1" s="253"/>
      <c r="B1" s="293"/>
      <c r="C1" s="294"/>
      <c r="D1" s="294"/>
      <c r="E1" s="294"/>
      <c r="F1" s="295"/>
      <c r="G1" s="237"/>
      <c r="H1" s="237"/>
      <c r="I1" s="237"/>
      <c r="J1" s="237"/>
    </row>
    <row r="2" spans="1:10" ht="33" customHeight="1">
      <c r="A2" s="456" t="s">
        <v>560</v>
      </c>
      <c r="B2" s="456"/>
      <c r="C2" s="456"/>
      <c r="D2" s="456"/>
      <c r="E2" s="456"/>
      <c r="F2" s="456"/>
    </row>
    <row r="3" spans="1:10" ht="25.5" customHeight="1" thickBot="1">
      <c r="A3" s="238" t="s">
        <v>1110</v>
      </c>
      <c r="B3" s="127" t="s">
        <v>561</v>
      </c>
      <c r="C3" s="58"/>
      <c r="D3" s="58"/>
      <c r="E3" s="58"/>
      <c r="F3" s="58"/>
      <c r="G3" s="155"/>
    </row>
    <row r="4" spans="1:10" ht="16.8" thickBot="1">
      <c r="A4" s="58"/>
      <c r="B4" s="58"/>
      <c r="C4" s="58"/>
      <c r="D4" s="58"/>
      <c r="E4" s="58"/>
      <c r="F4" s="58"/>
      <c r="G4" s="155"/>
    </row>
    <row r="5" spans="1:10" ht="41.25" customHeight="1" thickBot="1">
      <c r="A5" s="26" t="s">
        <v>774</v>
      </c>
      <c r="B5" s="26" t="s">
        <v>108</v>
      </c>
      <c r="C5" s="27" t="s">
        <v>53</v>
      </c>
      <c r="D5" s="28" t="s">
        <v>58</v>
      </c>
      <c r="E5" s="29" t="s">
        <v>109</v>
      </c>
      <c r="F5" s="30" t="s">
        <v>110</v>
      </c>
      <c r="G5" s="175"/>
    </row>
    <row r="6" spans="1:10">
      <c r="A6" s="157" t="s">
        <v>776</v>
      </c>
      <c r="B6" s="176"/>
      <c r="C6" s="176"/>
      <c r="D6" s="176"/>
      <c r="E6" s="176"/>
      <c r="F6" s="176"/>
      <c r="G6" s="175"/>
    </row>
    <row r="7" spans="1:10" ht="16.2" thickBot="1">
      <c r="A7" s="159"/>
      <c r="B7" s="156"/>
      <c r="C7" s="156"/>
      <c r="D7" s="156"/>
      <c r="E7" s="156"/>
      <c r="F7" s="156"/>
      <c r="G7" s="155"/>
      <c r="H7" s="158"/>
      <c r="I7" s="158"/>
    </row>
    <row r="8" spans="1:10" s="1" customFormat="1" ht="19.2" thickBot="1">
      <c r="A8" s="26"/>
      <c r="B8" s="36" t="s">
        <v>854</v>
      </c>
      <c r="C8" s="37"/>
      <c r="D8" s="37"/>
      <c r="E8" s="38"/>
      <c r="F8" s="39"/>
    </row>
    <row r="9" spans="1:10">
      <c r="A9" s="159"/>
      <c r="B9" s="156"/>
      <c r="C9" s="168"/>
      <c r="D9" s="168"/>
      <c r="E9" s="168"/>
      <c r="F9" s="168"/>
      <c r="G9" s="155"/>
      <c r="H9" s="158"/>
      <c r="I9" s="158"/>
    </row>
    <row r="10" spans="1:10" s="14" customFormat="1" ht="18.600000000000001">
      <c r="A10" s="1"/>
      <c r="B10" s="52" t="s">
        <v>827</v>
      </c>
      <c r="C10" s="47">
        <v>1</v>
      </c>
      <c r="D10" s="54" t="s">
        <v>58</v>
      </c>
      <c r="E10" s="19">
        <f>+'insumos ELECT'!E29</f>
        <v>40.599999999999994</v>
      </c>
      <c r="F10" s="20">
        <f t="shared" ref="F10:F19" si="0">C10*E10</f>
        <v>40.599999999999994</v>
      </c>
      <c r="G10" s="115"/>
      <c r="H10" s="114"/>
      <c r="I10" s="15"/>
    </row>
    <row r="11" spans="1:10" s="14" customFormat="1" ht="18.600000000000001">
      <c r="A11" s="1"/>
      <c r="B11" s="52" t="s">
        <v>805</v>
      </c>
      <c r="C11" s="47">
        <v>1.5</v>
      </c>
      <c r="D11" s="54" t="s">
        <v>58</v>
      </c>
      <c r="E11" s="19">
        <f>+'insumos ELECT'!E95</f>
        <v>149.63999999999999</v>
      </c>
      <c r="F11" s="20">
        <f t="shared" si="0"/>
        <v>224.45999999999998</v>
      </c>
      <c r="G11" s="115"/>
      <c r="H11" s="114"/>
      <c r="I11" s="15"/>
    </row>
    <row r="12" spans="1:10" s="14" customFormat="1" ht="18.600000000000001">
      <c r="A12" s="1"/>
      <c r="B12" s="52" t="s">
        <v>804</v>
      </c>
      <c r="C12" s="47">
        <v>1</v>
      </c>
      <c r="D12" s="54" t="s">
        <v>47</v>
      </c>
      <c r="E12" s="19">
        <f>+'insumos ELECT'!E96</f>
        <v>25.52</v>
      </c>
      <c r="F12" s="20">
        <f t="shared" si="0"/>
        <v>25.52</v>
      </c>
      <c r="G12" s="115"/>
      <c r="H12" s="114"/>
      <c r="I12" s="15"/>
    </row>
    <row r="13" spans="1:10" s="14" customFormat="1" ht="18.600000000000001">
      <c r="A13" s="1"/>
      <c r="B13" s="52" t="s">
        <v>773</v>
      </c>
      <c r="C13" s="47">
        <v>3</v>
      </c>
      <c r="D13" s="54" t="s">
        <v>58</v>
      </c>
      <c r="E13" s="19">
        <f>+'insumos ELECT'!E97</f>
        <v>10.44</v>
      </c>
      <c r="F13" s="20">
        <f t="shared" si="0"/>
        <v>31.32</v>
      </c>
      <c r="G13" s="115"/>
      <c r="H13" s="114"/>
      <c r="I13" s="15"/>
    </row>
    <row r="14" spans="1:10" s="14" customFormat="1" ht="18.600000000000001">
      <c r="A14" s="1"/>
      <c r="B14" s="52" t="s">
        <v>803</v>
      </c>
      <c r="C14" s="47">
        <v>2</v>
      </c>
      <c r="D14" s="54" t="s">
        <v>58</v>
      </c>
      <c r="E14" s="19">
        <f>+'insumos ELECT'!E98</f>
        <v>10.44</v>
      </c>
      <c r="F14" s="20">
        <f t="shared" si="0"/>
        <v>20.88</v>
      </c>
      <c r="G14" s="115"/>
      <c r="H14" s="114"/>
      <c r="I14" s="15"/>
    </row>
    <row r="15" spans="1:10" s="14" customFormat="1" ht="18.600000000000001">
      <c r="A15" s="1"/>
      <c r="B15" s="52" t="s">
        <v>802</v>
      </c>
      <c r="C15" s="47">
        <v>45</v>
      </c>
      <c r="D15" s="54" t="s">
        <v>47</v>
      </c>
      <c r="E15" s="19">
        <f>+'insumos ELECT'!E20</f>
        <v>6.0667999999999997</v>
      </c>
      <c r="F15" s="20">
        <f t="shared" si="0"/>
        <v>273.00599999999997</v>
      </c>
      <c r="G15" s="115"/>
      <c r="H15" s="114"/>
      <c r="I15" s="15"/>
    </row>
    <row r="16" spans="1:10" s="14" customFormat="1" ht="18.600000000000001">
      <c r="A16" s="1"/>
      <c r="B16" s="52" t="s">
        <v>795</v>
      </c>
      <c r="C16" s="47">
        <v>0.05</v>
      </c>
      <c r="D16" s="54" t="s">
        <v>794</v>
      </c>
      <c r="E16" s="19">
        <f>+'insumos ELECT'!E27</f>
        <v>243.6</v>
      </c>
      <c r="F16" s="20">
        <f t="shared" si="0"/>
        <v>12.18</v>
      </c>
      <c r="G16" s="115"/>
      <c r="H16" s="114"/>
      <c r="I16" s="15"/>
    </row>
    <row r="17" spans="1:9" s="14" customFormat="1" ht="18.600000000000001">
      <c r="A17" s="1"/>
      <c r="B17" s="52" t="s">
        <v>801</v>
      </c>
      <c r="C17" s="47">
        <v>4</v>
      </c>
      <c r="D17" s="54" t="s">
        <v>58</v>
      </c>
      <c r="E17" s="19">
        <f>+'insumos ELECT'!E109</f>
        <v>3.4799999999999995</v>
      </c>
      <c r="F17" s="20">
        <f t="shared" si="0"/>
        <v>13.919999999999998</v>
      </c>
      <c r="G17" s="115"/>
      <c r="H17" s="114"/>
      <c r="I17" s="15"/>
    </row>
    <row r="18" spans="1:9" s="14" customFormat="1" ht="18.600000000000001">
      <c r="A18" s="1"/>
      <c r="B18" s="52" t="s">
        <v>783</v>
      </c>
      <c r="C18" s="47">
        <v>7</v>
      </c>
      <c r="D18" s="54" t="s">
        <v>58</v>
      </c>
      <c r="E18" s="19">
        <f>+'insumos ELECT'!E84</f>
        <v>7.4239999999999995</v>
      </c>
      <c r="F18" s="20">
        <f t="shared" si="0"/>
        <v>51.967999999999996</v>
      </c>
      <c r="G18" s="115"/>
      <c r="H18" s="114"/>
      <c r="I18" s="15"/>
    </row>
    <row r="19" spans="1:9" s="14" customFormat="1" ht="18.600000000000001">
      <c r="A19" s="1"/>
      <c r="B19" s="52" t="s">
        <v>133</v>
      </c>
      <c r="C19" s="47">
        <v>1</v>
      </c>
      <c r="D19" s="54" t="s">
        <v>55</v>
      </c>
      <c r="E19" s="19">
        <f>+'mano de obra ELECT'!D6</f>
        <v>650</v>
      </c>
      <c r="F19" s="20">
        <f t="shared" si="0"/>
        <v>650</v>
      </c>
      <c r="G19" s="115"/>
      <c r="H19" s="114"/>
      <c r="I19" s="15"/>
    </row>
    <row r="20" spans="1:9" s="1" customFormat="1" ht="19.2" thickBot="1">
      <c r="B20" s="42"/>
      <c r="C20" s="43"/>
      <c r="D20" s="44"/>
      <c r="E20" s="45" t="s">
        <v>775</v>
      </c>
      <c r="F20" s="46">
        <f>SUM(F10:F19)</f>
        <v>1343.8539999999998</v>
      </c>
    </row>
    <row r="21" spans="1:9" s="1" customFormat="1" ht="19.8" thickTop="1" thickBot="1">
      <c r="B21" s="42"/>
      <c r="C21" s="43"/>
      <c r="D21" s="44"/>
      <c r="E21" s="50"/>
      <c r="F21" s="51"/>
    </row>
    <row r="22" spans="1:9" s="1" customFormat="1" ht="19.2" thickBot="1">
      <c r="A22" s="26"/>
      <c r="B22" s="36" t="s">
        <v>853</v>
      </c>
      <c r="C22" s="37"/>
      <c r="D22" s="37"/>
      <c r="E22" s="38"/>
      <c r="F22" s="39"/>
    </row>
    <row r="23" spans="1:9">
      <c r="A23" s="159"/>
      <c r="B23" s="156"/>
      <c r="C23" s="168"/>
      <c r="D23" s="168"/>
      <c r="E23" s="168"/>
      <c r="F23" s="168"/>
      <c r="G23" s="158"/>
      <c r="H23" s="158"/>
      <c r="I23" s="158"/>
    </row>
    <row r="24" spans="1:9" s="14" customFormat="1" ht="18.600000000000001">
      <c r="A24" s="1"/>
      <c r="B24" s="52" t="s">
        <v>827</v>
      </c>
      <c r="C24" s="47">
        <v>1</v>
      </c>
      <c r="D24" s="54" t="s">
        <v>58</v>
      </c>
      <c r="E24" s="19">
        <f>+'insumos ELECT'!E29</f>
        <v>40.599999999999994</v>
      </c>
      <c r="F24" s="20">
        <f t="shared" ref="F24:F35" si="1">C24*E24</f>
        <v>40.599999999999994</v>
      </c>
      <c r="G24" s="115"/>
      <c r="H24" s="114"/>
      <c r="I24" s="15"/>
    </row>
    <row r="25" spans="1:9" s="14" customFormat="1" ht="18.600000000000001">
      <c r="A25" s="1"/>
      <c r="B25" s="52" t="s">
        <v>851</v>
      </c>
      <c r="C25" s="47">
        <v>1</v>
      </c>
      <c r="D25" s="54" t="s">
        <v>58</v>
      </c>
      <c r="E25" s="19">
        <f>+'insumos ELECT'!E48</f>
        <v>56.839999999999996</v>
      </c>
      <c r="F25" s="20">
        <f t="shared" si="1"/>
        <v>56.839999999999996</v>
      </c>
      <c r="G25" s="115"/>
      <c r="H25" s="114"/>
      <c r="I25" s="15"/>
    </row>
    <row r="26" spans="1:9" s="14" customFormat="1" ht="18.600000000000001">
      <c r="A26" s="1"/>
      <c r="B26" s="52" t="s">
        <v>846</v>
      </c>
      <c r="C26" s="47">
        <v>1</v>
      </c>
      <c r="D26" s="54" t="s">
        <v>58</v>
      </c>
      <c r="E26" s="19">
        <f>+'insumos ELECT'!E52</f>
        <v>203</v>
      </c>
      <c r="F26" s="20">
        <f t="shared" si="1"/>
        <v>203</v>
      </c>
      <c r="G26" s="115"/>
      <c r="H26" s="114"/>
      <c r="I26" s="15"/>
    </row>
    <row r="27" spans="1:9" s="14" customFormat="1" ht="18.600000000000001">
      <c r="A27" s="1"/>
      <c r="B27" s="52" t="s">
        <v>805</v>
      </c>
      <c r="C27" s="47">
        <v>1.5</v>
      </c>
      <c r="D27" s="54" t="s">
        <v>58</v>
      </c>
      <c r="E27" s="19">
        <f>+'insumos ELECT'!E95</f>
        <v>149.63999999999999</v>
      </c>
      <c r="F27" s="20">
        <f t="shared" si="1"/>
        <v>224.45999999999998</v>
      </c>
      <c r="G27" s="115"/>
      <c r="H27" s="114"/>
      <c r="I27" s="15"/>
    </row>
    <row r="28" spans="1:9" s="14" customFormat="1" ht="18.600000000000001">
      <c r="A28" s="1"/>
      <c r="B28" s="52" t="s">
        <v>804</v>
      </c>
      <c r="C28" s="47">
        <v>2</v>
      </c>
      <c r="D28" s="54" t="s">
        <v>47</v>
      </c>
      <c r="E28" s="19">
        <f>+'insumos ELECT'!E96</f>
        <v>25.52</v>
      </c>
      <c r="F28" s="20">
        <f t="shared" si="1"/>
        <v>51.04</v>
      </c>
      <c r="G28" s="115"/>
      <c r="H28" s="114"/>
      <c r="I28" s="15"/>
    </row>
    <row r="29" spans="1:9" s="14" customFormat="1" ht="18.600000000000001">
      <c r="A29" s="1"/>
      <c r="B29" s="52" t="s">
        <v>773</v>
      </c>
      <c r="C29" s="47">
        <v>4</v>
      </c>
      <c r="D29" s="54" t="s">
        <v>58</v>
      </c>
      <c r="E29" s="19">
        <f>+'insumos ELECT'!E97</f>
        <v>10.44</v>
      </c>
      <c r="F29" s="20">
        <f t="shared" si="1"/>
        <v>41.76</v>
      </c>
      <c r="G29" s="115"/>
      <c r="H29" s="114"/>
      <c r="I29" s="15"/>
    </row>
    <row r="30" spans="1:9" s="14" customFormat="1" ht="18.600000000000001">
      <c r="A30" s="1"/>
      <c r="B30" s="52" t="s">
        <v>803</v>
      </c>
      <c r="C30" s="47">
        <v>2</v>
      </c>
      <c r="D30" s="54" t="s">
        <v>58</v>
      </c>
      <c r="E30" s="19">
        <f>+'insumos ELECT'!E98</f>
        <v>10.44</v>
      </c>
      <c r="F30" s="20">
        <f t="shared" si="1"/>
        <v>20.88</v>
      </c>
      <c r="G30" s="115"/>
      <c r="H30" s="114"/>
      <c r="I30" s="15"/>
    </row>
    <row r="31" spans="1:9" s="14" customFormat="1" ht="18.600000000000001">
      <c r="A31" s="1"/>
      <c r="B31" s="52" t="s">
        <v>802</v>
      </c>
      <c r="C31" s="47">
        <v>45</v>
      </c>
      <c r="D31" s="54" t="s">
        <v>47</v>
      </c>
      <c r="E31" s="19">
        <f>+'insumos ELECT'!E20</f>
        <v>6.0667999999999997</v>
      </c>
      <c r="F31" s="20">
        <f t="shared" si="1"/>
        <v>273.00599999999997</v>
      </c>
      <c r="G31" s="115"/>
      <c r="H31" s="114"/>
      <c r="I31" s="15"/>
    </row>
    <row r="32" spans="1:9" s="14" customFormat="1" ht="18.600000000000001">
      <c r="A32" s="1"/>
      <c r="B32" s="52" t="s">
        <v>795</v>
      </c>
      <c r="C32" s="47">
        <v>0.05</v>
      </c>
      <c r="D32" s="54" t="s">
        <v>794</v>
      </c>
      <c r="E32" s="19">
        <f>+'insumos ELECT'!E27</f>
        <v>243.6</v>
      </c>
      <c r="F32" s="20">
        <f t="shared" si="1"/>
        <v>12.18</v>
      </c>
      <c r="G32" s="115"/>
      <c r="H32" s="114"/>
      <c r="I32" s="15"/>
    </row>
    <row r="33" spans="1:9" s="14" customFormat="1" ht="18.600000000000001">
      <c r="A33" s="1"/>
      <c r="B33" s="52" t="s">
        <v>801</v>
      </c>
      <c r="C33" s="47">
        <v>4</v>
      </c>
      <c r="D33" s="54" t="s">
        <v>58</v>
      </c>
      <c r="E33" s="19">
        <f>+'insumos ELECT'!E109</f>
        <v>3.4799999999999995</v>
      </c>
      <c r="F33" s="20">
        <f t="shared" si="1"/>
        <v>13.919999999999998</v>
      </c>
      <c r="G33" s="115"/>
      <c r="H33" s="114"/>
      <c r="I33" s="15"/>
    </row>
    <row r="34" spans="1:9" s="14" customFormat="1" ht="18.600000000000001">
      <c r="A34" s="1"/>
      <c r="B34" s="52" t="s">
        <v>783</v>
      </c>
      <c r="C34" s="47">
        <v>7</v>
      </c>
      <c r="D34" s="54" t="s">
        <v>58</v>
      </c>
      <c r="E34" s="19">
        <f>+'insumos ELECT'!E84</f>
        <v>7.4239999999999995</v>
      </c>
      <c r="F34" s="20">
        <f t="shared" si="1"/>
        <v>51.967999999999996</v>
      </c>
      <c r="G34" s="115"/>
      <c r="H34" s="114"/>
      <c r="I34" s="15"/>
    </row>
    <row r="35" spans="1:9" s="14" customFormat="1" ht="18.600000000000001">
      <c r="A35" s="1"/>
      <c r="B35" s="52" t="s">
        <v>133</v>
      </c>
      <c r="C35" s="47">
        <v>1</v>
      </c>
      <c r="D35" s="54" t="s">
        <v>55</v>
      </c>
      <c r="E35" s="19">
        <f>+'mano de obra ELECT'!D7</f>
        <v>650</v>
      </c>
      <c r="F35" s="20">
        <f t="shared" si="1"/>
        <v>650</v>
      </c>
      <c r="G35" s="115"/>
      <c r="H35" s="114"/>
      <c r="I35" s="15"/>
    </row>
    <row r="36" spans="1:9" s="1" customFormat="1" ht="19.2" thickBot="1">
      <c r="B36" s="42"/>
      <c r="C36" s="43"/>
      <c r="D36" s="44"/>
      <c r="E36" s="45" t="s">
        <v>775</v>
      </c>
      <c r="F36" s="46">
        <f>SUM(F24:F35)</f>
        <v>1639.6539999999998</v>
      </c>
    </row>
    <row r="37" spans="1:9" ht="16.8" thickTop="1" thickBot="1">
      <c r="A37" s="159"/>
      <c r="B37" s="156"/>
      <c r="C37" s="168"/>
      <c r="D37" s="168"/>
      <c r="E37" s="168"/>
      <c r="F37" s="169"/>
      <c r="G37" s="158"/>
      <c r="H37" s="158"/>
      <c r="I37" s="158"/>
    </row>
    <row r="38" spans="1:9" s="1" customFormat="1" ht="19.2" thickBot="1">
      <c r="A38" s="26"/>
      <c r="B38" s="36" t="s">
        <v>852</v>
      </c>
      <c r="C38" s="37"/>
      <c r="D38" s="37"/>
      <c r="E38" s="38"/>
      <c r="F38" s="39"/>
    </row>
    <row r="39" spans="1:9">
      <c r="A39" s="159"/>
      <c r="B39" s="156"/>
      <c r="C39" s="168"/>
      <c r="D39" s="168"/>
      <c r="E39" s="168"/>
      <c r="F39" s="168"/>
      <c r="G39" s="158"/>
      <c r="H39" s="158"/>
      <c r="I39" s="158"/>
    </row>
    <row r="40" spans="1:9" s="14" customFormat="1" ht="18.600000000000001">
      <c r="A40" s="1"/>
      <c r="B40" s="52" t="s">
        <v>827</v>
      </c>
      <c r="C40" s="47">
        <v>1</v>
      </c>
      <c r="D40" s="54" t="s">
        <v>58</v>
      </c>
      <c r="E40" s="19">
        <f>+'insumos ELECT'!E29</f>
        <v>40.599999999999994</v>
      </c>
      <c r="F40" s="20">
        <f t="shared" ref="F40:F51" si="2">C40*E40</f>
        <v>40.599999999999994</v>
      </c>
      <c r="G40" s="115"/>
      <c r="H40" s="114"/>
      <c r="I40" s="15"/>
    </row>
    <row r="41" spans="1:9" s="14" customFormat="1" ht="18.600000000000001">
      <c r="A41" s="1"/>
      <c r="B41" s="52" t="s">
        <v>851</v>
      </c>
      <c r="C41" s="47">
        <v>1</v>
      </c>
      <c r="D41" s="54" t="s">
        <v>58</v>
      </c>
      <c r="E41" s="19">
        <f>+'insumos ELECT'!E48</f>
        <v>56.839999999999996</v>
      </c>
      <c r="F41" s="20">
        <f t="shared" si="2"/>
        <v>56.839999999999996</v>
      </c>
      <c r="G41" s="115"/>
      <c r="H41" s="114"/>
      <c r="I41" s="15"/>
    </row>
    <row r="42" spans="1:9" s="14" customFormat="1" ht="18.600000000000001">
      <c r="A42" s="1"/>
      <c r="B42" s="52" t="s">
        <v>846</v>
      </c>
      <c r="C42" s="47">
        <v>1</v>
      </c>
      <c r="D42" s="54" t="s">
        <v>58</v>
      </c>
      <c r="E42" s="19">
        <f>+'insumos ELECT'!E52</f>
        <v>203</v>
      </c>
      <c r="F42" s="20">
        <f t="shared" si="2"/>
        <v>203</v>
      </c>
      <c r="G42" s="115"/>
      <c r="H42" s="114"/>
      <c r="I42" s="15"/>
    </row>
    <row r="43" spans="1:9" s="14" customFormat="1" ht="18.600000000000001">
      <c r="A43" s="1"/>
      <c r="B43" s="52" t="s">
        <v>805</v>
      </c>
      <c r="C43" s="47">
        <v>1.5</v>
      </c>
      <c r="D43" s="54" t="s">
        <v>58</v>
      </c>
      <c r="E43" s="19">
        <f>+'insumos ELECT'!E95</f>
        <v>149.63999999999999</v>
      </c>
      <c r="F43" s="20">
        <f t="shared" si="2"/>
        <v>224.45999999999998</v>
      </c>
      <c r="G43" s="115"/>
      <c r="H43" s="114"/>
      <c r="I43" s="15"/>
    </row>
    <row r="44" spans="1:9" s="14" customFormat="1" ht="18.600000000000001">
      <c r="A44" s="1"/>
      <c r="B44" s="52" t="s">
        <v>804</v>
      </c>
      <c r="C44" s="47">
        <v>1</v>
      </c>
      <c r="D44" s="54" t="s">
        <v>47</v>
      </c>
      <c r="E44" s="19">
        <f>+'insumos ELECT'!E96</f>
        <v>25.52</v>
      </c>
      <c r="F44" s="20">
        <f t="shared" si="2"/>
        <v>25.52</v>
      </c>
      <c r="G44" s="115"/>
      <c r="H44" s="114"/>
      <c r="I44" s="15"/>
    </row>
    <row r="45" spans="1:9" s="14" customFormat="1" ht="18.600000000000001">
      <c r="A45" s="1"/>
      <c r="B45" s="52" t="s">
        <v>773</v>
      </c>
      <c r="C45" s="47">
        <v>3</v>
      </c>
      <c r="D45" s="54" t="s">
        <v>58</v>
      </c>
      <c r="E45" s="19">
        <f>+'insumos ELECT'!E97</f>
        <v>10.44</v>
      </c>
      <c r="F45" s="20">
        <f t="shared" si="2"/>
        <v>31.32</v>
      </c>
      <c r="G45" s="115"/>
      <c r="H45" s="114"/>
      <c r="I45" s="15"/>
    </row>
    <row r="46" spans="1:9" s="14" customFormat="1" ht="18.600000000000001">
      <c r="A46" s="1"/>
      <c r="B46" s="52" t="s">
        <v>803</v>
      </c>
      <c r="C46" s="47">
        <v>2</v>
      </c>
      <c r="D46" s="54" t="s">
        <v>58</v>
      </c>
      <c r="E46" s="19">
        <f>+'insumos ELECT'!E98</f>
        <v>10.44</v>
      </c>
      <c r="F46" s="20">
        <f t="shared" si="2"/>
        <v>20.88</v>
      </c>
      <c r="G46" s="115"/>
      <c r="H46" s="114"/>
      <c r="I46" s="15"/>
    </row>
    <row r="47" spans="1:9" s="14" customFormat="1" ht="18.600000000000001">
      <c r="A47" s="1"/>
      <c r="B47" s="52" t="s">
        <v>802</v>
      </c>
      <c r="C47" s="47">
        <v>45</v>
      </c>
      <c r="D47" s="54" t="s">
        <v>47</v>
      </c>
      <c r="E47" s="19">
        <f>+'insumos ELECT'!E20</f>
        <v>6.0667999999999997</v>
      </c>
      <c r="F47" s="20">
        <f t="shared" si="2"/>
        <v>273.00599999999997</v>
      </c>
      <c r="G47" s="115"/>
      <c r="H47" s="114"/>
      <c r="I47" s="15"/>
    </row>
    <row r="48" spans="1:9" s="14" customFormat="1" ht="18.600000000000001">
      <c r="A48" s="1"/>
      <c r="B48" s="52" t="s">
        <v>795</v>
      </c>
      <c r="C48" s="47">
        <v>0.05</v>
      </c>
      <c r="D48" s="54" t="s">
        <v>794</v>
      </c>
      <c r="E48" s="19">
        <f>+'insumos ELECT'!E27</f>
        <v>243.6</v>
      </c>
      <c r="F48" s="20">
        <f t="shared" si="2"/>
        <v>12.18</v>
      </c>
      <c r="G48" s="115"/>
      <c r="H48" s="114"/>
      <c r="I48" s="15"/>
    </row>
    <row r="49" spans="1:9" s="14" customFormat="1" ht="18.600000000000001">
      <c r="A49" s="1"/>
      <c r="B49" s="52" t="s">
        <v>801</v>
      </c>
      <c r="C49" s="47">
        <v>4</v>
      </c>
      <c r="D49" s="54" t="s">
        <v>58</v>
      </c>
      <c r="E49" s="19">
        <f>+'insumos ELECT'!E109</f>
        <v>3.4799999999999995</v>
      </c>
      <c r="F49" s="20">
        <f t="shared" si="2"/>
        <v>13.919999999999998</v>
      </c>
      <c r="G49" s="115"/>
      <c r="H49" s="114"/>
      <c r="I49" s="15"/>
    </row>
    <row r="50" spans="1:9" s="14" customFormat="1" ht="18.600000000000001">
      <c r="A50" s="1"/>
      <c r="B50" s="52" t="s">
        <v>783</v>
      </c>
      <c r="C50" s="47">
        <v>7</v>
      </c>
      <c r="D50" s="54" t="s">
        <v>58</v>
      </c>
      <c r="E50" s="19">
        <f>+'insumos ELECT'!E84</f>
        <v>7.4239999999999995</v>
      </c>
      <c r="F50" s="20">
        <f t="shared" si="2"/>
        <v>51.967999999999996</v>
      </c>
      <c r="G50" s="115"/>
      <c r="H50" s="114"/>
      <c r="I50" s="15"/>
    </row>
    <row r="51" spans="1:9" s="14" customFormat="1" ht="18.600000000000001">
      <c r="A51" s="1"/>
      <c r="B51" s="52" t="s">
        <v>133</v>
      </c>
      <c r="C51" s="47">
        <v>1</v>
      </c>
      <c r="D51" s="54" t="s">
        <v>55</v>
      </c>
      <c r="E51" s="19">
        <f>+'mano de obra ELECT'!D8</f>
        <v>650</v>
      </c>
      <c r="F51" s="20">
        <f t="shared" si="2"/>
        <v>650</v>
      </c>
      <c r="G51" s="115"/>
      <c r="H51" s="114"/>
      <c r="I51" s="15"/>
    </row>
    <row r="52" spans="1:9" s="1" customFormat="1" ht="19.2" thickBot="1">
      <c r="B52" s="42"/>
      <c r="C52" s="43"/>
      <c r="D52" s="44"/>
      <c r="E52" s="45" t="s">
        <v>775</v>
      </c>
      <c r="F52" s="46">
        <f>SUM(F40:F51)</f>
        <v>1603.694</v>
      </c>
    </row>
    <row r="53" spans="1:9" ht="16.8" thickTop="1" thickBot="1">
      <c r="A53" s="159"/>
      <c r="B53" s="156"/>
      <c r="C53" s="168"/>
      <c r="D53" s="168"/>
      <c r="E53" s="168"/>
      <c r="F53" s="169"/>
      <c r="G53" s="158"/>
      <c r="H53" s="158"/>
      <c r="I53" s="158"/>
    </row>
    <row r="54" spans="1:9" s="1" customFormat="1" ht="19.2" thickBot="1">
      <c r="A54" s="26"/>
      <c r="B54" s="36" t="s">
        <v>850</v>
      </c>
      <c r="C54" s="37"/>
      <c r="D54" s="37"/>
      <c r="E54" s="38"/>
      <c r="F54" s="39"/>
    </row>
    <row r="55" spans="1:9">
      <c r="A55" s="159"/>
      <c r="B55" s="160"/>
      <c r="C55" s="174"/>
      <c r="D55" s="174"/>
      <c r="E55" s="174"/>
      <c r="F55" s="174"/>
      <c r="G55" s="158"/>
      <c r="H55" s="158"/>
      <c r="I55" s="158"/>
    </row>
    <row r="56" spans="1:9" s="14" customFormat="1" ht="18.600000000000001">
      <c r="A56" s="1"/>
      <c r="B56" s="52" t="s">
        <v>827</v>
      </c>
      <c r="C56" s="47">
        <v>1</v>
      </c>
      <c r="D56" s="54" t="s">
        <v>58</v>
      </c>
      <c r="E56" s="19">
        <f>+'insumos ELECT'!E29</f>
        <v>40.599999999999994</v>
      </c>
      <c r="F56" s="20">
        <f t="shared" ref="F56:F69" si="3">C56*E56</f>
        <v>40.599999999999994</v>
      </c>
      <c r="G56" s="115"/>
      <c r="H56" s="114"/>
      <c r="I56" s="15"/>
    </row>
    <row r="57" spans="1:9" s="14" customFormat="1" ht="18.600000000000001">
      <c r="A57" s="1"/>
      <c r="B57" s="52" t="s">
        <v>805</v>
      </c>
      <c r="C57" s="47">
        <v>1.5</v>
      </c>
      <c r="D57" s="54" t="s">
        <v>58</v>
      </c>
      <c r="E57" s="19">
        <f>+'insumos ELECT'!E95</f>
        <v>149.63999999999999</v>
      </c>
      <c r="F57" s="20">
        <f t="shared" si="3"/>
        <v>224.45999999999998</v>
      </c>
      <c r="G57" s="115"/>
      <c r="H57" s="114"/>
      <c r="I57" s="15"/>
    </row>
    <row r="58" spans="1:9" s="14" customFormat="1" ht="18.600000000000001">
      <c r="A58" s="1"/>
      <c r="B58" s="52" t="s">
        <v>804</v>
      </c>
      <c r="C58" s="47">
        <v>2</v>
      </c>
      <c r="D58" s="54" t="s">
        <v>47</v>
      </c>
      <c r="E58" s="19">
        <f>+'insumos ELECT'!E96</f>
        <v>25.52</v>
      </c>
      <c r="F58" s="20">
        <f t="shared" si="3"/>
        <v>51.04</v>
      </c>
      <c r="G58" s="115"/>
      <c r="H58" s="114"/>
      <c r="I58" s="15"/>
    </row>
    <row r="59" spans="1:9" s="14" customFormat="1" ht="18.600000000000001">
      <c r="A59" s="1"/>
      <c r="B59" s="52" t="s">
        <v>773</v>
      </c>
      <c r="C59" s="47">
        <v>3</v>
      </c>
      <c r="D59" s="54" t="s">
        <v>58</v>
      </c>
      <c r="E59" s="19">
        <f>+'insumos ELECT'!E97</f>
        <v>10.44</v>
      </c>
      <c r="F59" s="20">
        <f t="shared" si="3"/>
        <v>31.32</v>
      </c>
      <c r="G59" s="115"/>
      <c r="H59" s="114"/>
      <c r="I59" s="15"/>
    </row>
    <row r="60" spans="1:9" s="14" customFormat="1" ht="18.600000000000001">
      <c r="A60" s="1"/>
      <c r="B60" s="52" t="s">
        <v>803</v>
      </c>
      <c r="C60" s="47">
        <v>2</v>
      </c>
      <c r="D60" s="54" t="s">
        <v>58</v>
      </c>
      <c r="E60" s="19">
        <f>+'insumos ELECT'!E98</f>
        <v>10.44</v>
      </c>
      <c r="F60" s="20">
        <f t="shared" si="3"/>
        <v>20.88</v>
      </c>
      <c r="G60" s="115"/>
      <c r="H60" s="114"/>
      <c r="I60" s="15"/>
    </row>
    <row r="61" spans="1:9" s="14" customFormat="1" ht="18.600000000000001">
      <c r="A61" s="1"/>
      <c r="B61" s="52" t="s">
        <v>802</v>
      </c>
      <c r="C61" s="47">
        <v>45</v>
      </c>
      <c r="D61" s="54" t="s">
        <v>47</v>
      </c>
      <c r="E61" s="19">
        <f>+'insumos ELECT'!E20</f>
        <v>6.0667999999999997</v>
      </c>
      <c r="F61" s="20">
        <f t="shared" si="3"/>
        <v>273.00599999999997</v>
      </c>
      <c r="G61" s="115"/>
      <c r="H61" s="114"/>
      <c r="I61" s="15"/>
    </row>
    <row r="62" spans="1:9" s="14" customFormat="1" ht="18.600000000000001">
      <c r="A62" s="1"/>
      <c r="B62" s="52" t="s">
        <v>795</v>
      </c>
      <c r="C62" s="47">
        <v>0.05</v>
      </c>
      <c r="D62" s="54" t="s">
        <v>794</v>
      </c>
      <c r="E62" s="19">
        <f>+'insumos ELECT'!E27</f>
        <v>243.6</v>
      </c>
      <c r="F62" s="20">
        <f t="shared" si="3"/>
        <v>12.18</v>
      </c>
      <c r="G62" s="115"/>
      <c r="H62" s="114"/>
      <c r="I62" s="15"/>
    </row>
    <row r="63" spans="1:9" s="14" customFormat="1" ht="18.600000000000001">
      <c r="A63" s="1"/>
      <c r="B63" s="52" t="s">
        <v>801</v>
      </c>
      <c r="C63" s="47">
        <v>4</v>
      </c>
      <c r="D63" s="54" t="s">
        <v>58</v>
      </c>
      <c r="E63" s="19">
        <f>+'insumos ELECT'!E109</f>
        <v>3.4799999999999995</v>
      </c>
      <c r="F63" s="20">
        <f t="shared" si="3"/>
        <v>13.919999999999998</v>
      </c>
      <c r="G63" s="115"/>
      <c r="H63" s="114"/>
      <c r="I63" s="15"/>
    </row>
    <row r="64" spans="1:9" s="14" customFormat="1" ht="18.600000000000001">
      <c r="A64" s="1"/>
      <c r="B64" s="52" t="s">
        <v>783</v>
      </c>
      <c r="C64" s="47">
        <v>7</v>
      </c>
      <c r="D64" s="54" t="s">
        <v>58</v>
      </c>
      <c r="E64" s="19">
        <f>+'insumos ELECT'!E84</f>
        <v>7.4239999999999995</v>
      </c>
      <c r="F64" s="20">
        <f t="shared" si="3"/>
        <v>51.967999999999996</v>
      </c>
      <c r="G64" s="115"/>
      <c r="H64" s="114"/>
      <c r="I64" s="15"/>
    </row>
    <row r="65" spans="1:9" s="14" customFormat="1" ht="18.600000000000001">
      <c r="A65" s="1"/>
      <c r="B65" s="52" t="s">
        <v>842</v>
      </c>
      <c r="C65" s="47">
        <v>1</v>
      </c>
      <c r="D65" s="54" t="s">
        <v>58</v>
      </c>
      <c r="E65" s="19">
        <f>+'insumos ELECT'!E31</f>
        <v>20.88</v>
      </c>
      <c r="F65" s="20">
        <f t="shared" si="3"/>
        <v>20.88</v>
      </c>
      <c r="G65" s="115"/>
      <c r="H65" s="114"/>
      <c r="I65" s="15"/>
    </row>
    <row r="66" spans="1:9" s="14" customFormat="1" ht="18.600000000000001">
      <c r="A66" s="1"/>
      <c r="B66" s="52" t="s">
        <v>831</v>
      </c>
      <c r="C66" s="47">
        <v>2</v>
      </c>
      <c r="D66" s="54" t="s">
        <v>58</v>
      </c>
      <c r="E66" s="19">
        <f>+'insumos ELECT'!E85</f>
        <v>2.0531999999999999</v>
      </c>
      <c r="F66" s="20">
        <f t="shared" si="3"/>
        <v>4.1063999999999998</v>
      </c>
      <c r="G66" s="115"/>
      <c r="H66" s="114"/>
      <c r="I66" s="15"/>
    </row>
    <row r="67" spans="1:9" s="14" customFormat="1" ht="18.600000000000001">
      <c r="A67" s="1"/>
      <c r="B67" s="52" t="s">
        <v>830</v>
      </c>
      <c r="C67" s="47">
        <v>2</v>
      </c>
      <c r="D67" s="54" t="s">
        <v>58</v>
      </c>
      <c r="E67" s="19">
        <f>+'insumos ELECT'!E86</f>
        <v>8.1199999999999992</v>
      </c>
      <c r="F67" s="20">
        <f t="shared" si="3"/>
        <v>16.239999999999998</v>
      </c>
      <c r="G67" s="115"/>
      <c r="H67" s="114"/>
      <c r="I67" s="15"/>
    </row>
    <row r="68" spans="1:9" s="14" customFormat="1" ht="18.600000000000001">
      <c r="A68" s="1"/>
      <c r="B68" s="52" t="s">
        <v>849</v>
      </c>
      <c r="C68" s="47">
        <v>1</v>
      </c>
      <c r="D68" s="54" t="s">
        <v>58</v>
      </c>
      <c r="E68" s="19">
        <f>+'insumos ELECT'!E57</f>
        <v>1480.1599999999999</v>
      </c>
      <c r="F68" s="20">
        <f t="shared" si="3"/>
        <v>1480.1599999999999</v>
      </c>
      <c r="G68" s="115"/>
      <c r="H68" s="114"/>
      <c r="I68" s="15"/>
    </row>
    <row r="69" spans="1:9" s="14" customFormat="1" ht="18.600000000000001">
      <c r="A69" s="1"/>
      <c r="B69" s="52" t="s">
        <v>133</v>
      </c>
      <c r="C69" s="47">
        <v>1</v>
      </c>
      <c r="D69" s="54" t="s">
        <v>55</v>
      </c>
      <c r="E69" s="19">
        <f>+'mano de obra ELECT'!D9</f>
        <v>800</v>
      </c>
      <c r="F69" s="20">
        <f t="shared" si="3"/>
        <v>800</v>
      </c>
      <c r="G69" s="115"/>
      <c r="H69" s="114"/>
      <c r="I69" s="15"/>
    </row>
    <row r="70" spans="1:9" s="1" customFormat="1" ht="19.2" thickBot="1">
      <c r="B70" s="42"/>
      <c r="C70" s="43"/>
      <c r="D70" s="44"/>
      <c r="E70" s="45" t="s">
        <v>775</v>
      </c>
      <c r="F70" s="46">
        <f>SUM(F56:F69)</f>
        <v>3040.7603999999997</v>
      </c>
    </row>
    <row r="71" spans="1:9" ht="16.8" thickTop="1" thickBot="1">
      <c r="A71" s="159"/>
      <c r="B71" s="160"/>
      <c r="C71" s="174"/>
      <c r="D71" s="174"/>
      <c r="E71" s="174"/>
      <c r="F71" s="173"/>
      <c r="G71" s="158"/>
      <c r="H71" s="158"/>
      <c r="I71" s="158"/>
    </row>
    <row r="72" spans="1:9" s="1" customFormat="1" ht="19.2" thickBot="1">
      <c r="A72" s="26"/>
      <c r="B72" s="36" t="s">
        <v>848</v>
      </c>
      <c r="C72" s="37"/>
      <c r="D72" s="37"/>
      <c r="E72" s="38"/>
      <c r="F72" s="39"/>
    </row>
    <row r="73" spans="1:9">
      <c r="A73" s="159"/>
      <c r="B73" s="156"/>
      <c r="C73" s="168"/>
      <c r="D73" s="168"/>
      <c r="E73" s="168"/>
      <c r="F73" s="168"/>
      <c r="G73" s="158"/>
      <c r="H73" s="158"/>
      <c r="I73" s="158"/>
    </row>
    <row r="74" spans="1:9" s="14" customFormat="1" ht="18.600000000000001">
      <c r="A74" s="1"/>
      <c r="B74" s="52" t="s">
        <v>827</v>
      </c>
      <c r="C74" s="47">
        <v>1</v>
      </c>
      <c r="D74" s="54" t="s">
        <v>58</v>
      </c>
      <c r="E74" s="19">
        <f>+'insumos ELECT'!E29</f>
        <v>40.599999999999994</v>
      </c>
      <c r="F74" s="20">
        <f t="shared" ref="F74:F85" si="4">C74*E74</f>
        <v>40.599999999999994</v>
      </c>
      <c r="G74" s="115"/>
      <c r="H74" s="114"/>
      <c r="I74" s="15"/>
    </row>
    <row r="75" spans="1:9" s="14" customFormat="1" ht="18.600000000000001">
      <c r="A75" s="1"/>
      <c r="B75" s="52" t="s">
        <v>847</v>
      </c>
      <c r="C75" s="47">
        <v>1</v>
      </c>
      <c r="D75" s="54" t="s">
        <v>58</v>
      </c>
      <c r="E75" s="19">
        <f>+'insumos ELECT'!E49</f>
        <v>556.79999999999995</v>
      </c>
      <c r="F75" s="20">
        <f t="shared" si="4"/>
        <v>556.79999999999995</v>
      </c>
      <c r="G75" s="115"/>
      <c r="H75" s="114"/>
      <c r="I75" s="15"/>
    </row>
    <row r="76" spans="1:9" s="14" customFormat="1" ht="18.600000000000001">
      <c r="A76" s="1"/>
      <c r="B76" s="52" t="s">
        <v>846</v>
      </c>
      <c r="C76" s="47">
        <v>2</v>
      </c>
      <c r="D76" s="54" t="s">
        <v>58</v>
      </c>
      <c r="E76" s="19">
        <f>+'insumos ELECT'!E52</f>
        <v>203</v>
      </c>
      <c r="F76" s="20">
        <f t="shared" si="4"/>
        <v>406</v>
      </c>
      <c r="G76" s="115"/>
      <c r="H76" s="114"/>
      <c r="I76" s="15"/>
    </row>
    <row r="77" spans="1:9" s="14" customFormat="1" ht="18.600000000000001">
      <c r="A77" s="1"/>
      <c r="B77" s="52" t="s">
        <v>805</v>
      </c>
      <c r="C77" s="47">
        <v>1.5</v>
      </c>
      <c r="D77" s="54" t="s">
        <v>58</v>
      </c>
      <c r="E77" s="19">
        <f>+'insumos ELECT'!E95</f>
        <v>149.63999999999999</v>
      </c>
      <c r="F77" s="20">
        <f t="shared" si="4"/>
        <v>224.45999999999998</v>
      </c>
      <c r="G77" s="115"/>
      <c r="H77" s="114"/>
      <c r="I77" s="15"/>
    </row>
    <row r="78" spans="1:9" s="14" customFormat="1" ht="18.600000000000001">
      <c r="A78" s="1"/>
      <c r="B78" s="52" t="s">
        <v>804</v>
      </c>
      <c r="C78" s="47">
        <v>2</v>
      </c>
      <c r="D78" s="54" t="s">
        <v>47</v>
      </c>
      <c r="E78" s="19">
        <f>+'insumos ELECT'!E96</f>
        <v>25.52</v>
      </c>
      <c r="F78" s="20">
        <f t="shared" si="4"/>
        <v>51.04</v>
      </c>
      <c r="G78" s="115"/>
      <c r="H78" s="114"/>
      <c r="I78" s="15"/>
    </row>
    <row r="79" spans="1:9" s="14" customFormat="1" ht="18.600000000000001">
      <c r="A79" s="1"/>
      <c r="B79" s="52" t="s">
        <v>773</v>
      </c>
      <c r="C79" s="47">
        <v>3</v>
      </c>
      <c r="D79" s="54" t="s">
        <v>58</v>
      </c>
      <c r="E79" s="19">
        <f>+'insumos ELECT'!E97</f>
        <v>10.44</v>
      </c>
      <c r="F79" s="20">
        <f t="shared" si="4"/>
        <v>31.32</v>
      </c>
      <c r="G79" s="115"/>
      <c r="H79" s="114"/>
      <c r="I79" s="15"/>
    </row>
    <row r="80" spans="1:9" s="14" customFormat="1" ht="18.600000000000001">
      <c r="A80" s="1"/>
      <c r="B80" s="52" t="s">
        <v>803</v>
      </c>
      <c r="C80" s="47">
        <v>2</v>
      </c>
      <c r="D80" s="54" t="s">
        <v>58</v>
      </c>
      <c r="E80" s="19">
        <f>+'insumos ELECT'!E98</f>
        <v>10.44</v>
      </c>
      <c r="F80" s="20">
        <f t="shared" si="4"/>
        <v>20.88</v>
      </c>
      <c r="G80" s="115"/>
      <c r="H80" s="114"/>
      <c r="I80" s="15"/>
    </row>
    <row r="81" spans="1:9" s="14" customFormat="1" ht="18.600000000000001">
      <c r="A81" s="1"/>
      <c r="B81" s="52" t="s">
        <v>802</v>
      </c>
      <c r="C81" s="47">
        <v>45</v>
      </c>
      <c r="D81" s="54" t="s">
        <v>47</v>
      </c>
      <c r="E81" s="19">
        <f>+'insumos ELECT'!E20</f>
        <v>6.0667999999999997</v>
      </c>
      <c r="F81" s="20">
        <f t="shared" si="4"/>
        <v>273.00599999999997</v>
      </c>
      <c r="G81" s="115"/>
      <c r="H81" s="114"/>
      <c r="I81" s="15"/>
    </row>
    <row r="82" spans="1:9" s="14" customFormat="1" ht="18.600000000000001">
      <c r="A82" s="1"/>
      <c r="B82" s="52" t="s">
        <v>795</v>
      </c>
      <c r="C82" s="47">
        <v>0.05</v>
      </c>
      <c r="D82" s="54" t="s">
        <v>794</v>
      </c>
      <c r="E82" s="19">
        <f>+'insumos ELECT'!E27</f>
        <v>243.6</v>
      </c>
      <c r="F82" s="20">
        <f t="shared" si="4"/>
        <v>12.18</v>
      </c>
      <c r="G82" s="115"/>
      <c r="H82" s="114"/>
      <c r="I82" s="15"/>
    </row>
    <row r="83" spans="1:9" s="14" customFormat="1" ht="18.600000000000001">
      <c r="A83" s="1"/>
      <c r="B83" s="52" t="s">
        <v>801</v>
      </c>
      <c r="C83" s="47">
        <v>4</v>
      </c>
      <c r="D83" s="54" t="s">
        <v>58</v>
      </c>
      <c r="E83" s="19">
        <f>+'insumos ELECT'!E109</f>
        <v>3.4799999999999995</v>
      </c>
      <c r="F83" s="20">
        <f t="shared" si="4"/>
        <v>13.919999999999998</v>
      </c>
      <c r="G83" s="115"/>
      <c r="H83" s="114"/>
      <c r="I83" s="15"/>
    </row>
    <row r="84" spans="1:9" s="14" customFormat="1" ht="18.600000000000001">
      <c r="A84" s="1"/>
      <c r="B84" s="52" t="s">
        <v>783</v>
      </c>
      <c r="C84" s="47">
        <v>7</v>
      </c>
      <c r="D84" s="54" t="s">
        <v>58</v>
      </c>
      <c r="E84" s="19">
        <f>+'insumos ELECT'!E84</f>
        <v>7.4239999999999995</v>
      </c>
      <c r="F84" s="20">
        <f t="shared" si="4"/>
        <v>51.967999999999996</v>
      </c>
      <c r="G84" s="115"/>
      <c r="H84" s="114"/>
      <c r="I84" s="15"/>
    </row>
    <row r="85" spans="1:9" s="14" customFormat="1" ht="18.600000000000001">
      <c r="A85" s="1"/>
      <c r="B85" s="52" t="s">
        <v>133</v>
      </c>
      <c r="C85" s="47">
        <v>1</v>
      </c>
      <c r="D85" s="54" t="s">
        <v>55</v>
      </c>
      <c r="E85" s="19">
        <f>+'mano de obra ELECT'!D10</f>
        <v>600</v>
      </c>
      <c r="F85" s="20">
        <f t="shared" si="4"/>
        <v>600</v>
      </c>
      <c r="G85" s="115"/>
      <c r="H85" s="114"/>
      <c r="I85" s="15"/>
    </row>
    <row r="86" spans="1:9" s="1" customFormat="1" ht="19.2" thickBot="1">
      <c r="B86" s="42"/>
      <c r="C86" s="43"/>
      <c r="D86" s="44"/>
      <c r="E86" s="45" t="s">
        <v>775</v>
      </c>
      <c r="F86" s="46">
        <f>SUM(F74:F85)</f>
        <v>2282.174</v>
      </c>
    </row>
    <row r="87" spans="1:9" ht="16.8" thickTop="1" thickBot="1">
      <c r="A87" s="159"/>
      <c r="B87" s="156"/>
      <c r="C87" s="168"/>
      <c r="D87" s="168"/>
      <c r="E87" s="168"/>
      <c r="F87" s="169"/>
      <c r="G87" s="158"/>
      <c r="H87" s="158"/>
      <c r="I87" s="158"/>
    </row>
    <row r="88" spans="1:9" s="1" customFormat="1" ht="19.2" thickBot="1">
      <c r="A88" s="26"/>
      <c r="B88" s="36" t="s">
        <v>845</v>
      </c>
      <c r="C88" s="37"/>
      <c r="D88" s="37"/>
      <c r="E88" s="38"/>
      <c r="F88" s="39"/>
    </row>
    <row r="89" spans="1:9">
      <c r="A89" s="159"/>
      <c r="B89" s="156"/>
      <c r="C89" s="168"/>
      <c r="D89" s="168"/>
      <c r="E89" s="168"/>
      <c r="F89" s="168"/>
      <c r="G89" s="158"/>
      <c r="H89" s="158"/>
      <c r="I89" s="158"/>
    </row>
    <row r="90" spans="1:9" s="14" customFormat="1" ht="18.600000000000001">
      <c r="A90" s="1"/>
      <c r="B90" s="52" t="s">
        <v>827</v>
      </c>
      <c r="C90" s="47">
        <v>1</v>
      </c>
      <c r="D90" s="54" t="s">
        <v>58</v>
      </c>
      <c r="E90" s="19">
        <f>+'insumos ELECT'!E29</f>
        <v>40.599999999999994</v>
      </c>
      <c r="F90" s="20">
        <f t="shared" ref="F90:F102" si="5">C90*E90</f>
        <v>40.599999999999994</v>
      </c>
      <c r="G90" s="115"/>
      <c r="H90" s="114"/>
      <c r="I90" s="15"/>
    </row>
    <row r="91" spans="1:9" s="14" customFormat="1" ht="18.600000000000001">
      <c r="A91" s="1"/>
      <c r="B91" s="52" t="s">
        <v>805</v>
      </c>
      <c r="C91" s="47">
        <v>1.5</v>
      </c>
      <c r="D91" s="54" t="s">
        <v>58</v>
      </c>
      <c r="E91" s="19">
        <f>+'insumos ELECT'!E95</f>
        <v>149.63999999999999</v>
      </c>
      <c r="F91" s="20">
        <f t="shared" si="5"/>
        <v>224.45999999999998</v>
      </c>
      <c r="G91" s="115"/>
      <c r="H91" s="114"/>
      <c r="I91" s="15"/>
    </row>
    <row r="92" spans="1:9" s="14" customFormat="1" ht="18.600000000000001">
      <c r="A92" s="1"/>
      <c r="B92" s="52" t="s">
        <v>804</v>
      </c>
      <c r="C92" s="47">
        <v>2</v>
      </c>
      <c r="D92" s="54" t="s">
        <v>47</v>
      </c>
      <c r="E92" s="19">
        <f>+'insumos ELECT'!E96</f>
        <v>25.52</v>
      </c>
      <c r="F92" s="20">
        <f t="shared" si="5"/>
        <v>51.04</v>
      </c>
      <c r="G92" s="115"/>
      <c r="H92" s="114"/>
      <c r="I92" s="15"/>
    </row>
    <row r="93" spans="1:9" s="14" customFormat="1" ht="18.600000000000001">
      <c r="A93" s="1"/>
      <c r="B93" s="52" t="s">
        <v>773</v>
      </c>
      <c r="C93" s="47">
        <v>3</v>
      </c>
      <c r="D93" s="54" t="s">
        <v>58</v>
      </c>
      <c r="E93" s="19">
        <f>+'insumos ELECT'!E97</f>
        <v>10.44</v>
      </c>
      <c r="F93" s="20">
        <f t="shared" si="5"/>
        <v>31.32</v>
      </c>
      <c r="G93" s="115"/>
      <c r="H93" s="114"/>
      <c r="I93" s="15"/>
    </row>
    <row r="94" spans="1:9" s="14" customFormat="1" ht="18.600000000000001">
      <c r="A94" s="1"/>
      <c r="B94" s="52" t="s">
        <v>803</v>
      </c>
      <c r="C94" s="47">
        <v>2</v>
      </c>
      <c r="D94" s="54" t="s">
        <v>58</v>
      </c>
      <c r="E94" s="19">
        <f>+'insumos ELECT'!E98</f>
        <v>10.44</v>
      </c>
      <c r="F94" s="20">
        <f t="shared" si="5"/>
        <v>20.88</v>
      </c>
      <c r="G94" s="115"/>
      <c r="H94" s="114"/>
      <c r="I94" s="15"/>
    </row>
    <row r="95" spans="1:9" s="14" customFormat="1" ht="18.600000000000001">
      <c r="A95" s="1"/>
      <c r="B95" s="52" t="s">
        <v>802</v>
      </c>
      <c r="C95" s="47">
        <v>45</v>
      </c>
      <c r="D95" s="54" t="s">
        <v>47</v>
      </c>
      <c r="E95" s="19">
        <f>+'insumos ELECT'!E20</f>
        <v>6.0667999999999997</v>
      </c>
      <c r="F95" s="20">
        <f t="shared" si="5"/>
        <v>273.00599999999997</v>
      </c>
      <c r="G95" s="115"/>
      <c r="H95" s="114"/>
      <c r="I95" s="15"/>
    </row>
    <row r="96" spans="1:9" s="14" customFormat="1" ht="18.600000000000001">
      <c r="A96" s="1"/>
      <c r="B96" s="52" t="s">
        <v>795</v>
      </c>
      <c r="C96" s="47">
        <v>0.05</v>
      </c>
      <c r="D96" s="54" t="s">
        <v>794</v>
      </c>
      <c r="E96" s="19">
        <f>+'insumos ELECT'!E27</f>
        <v>243.6</v>
      </c>
      <c r="F96" s="20">
        <f t="shared" si="5"/>
        <v>12.18</v>
      </c>
      <c r="G96" s="115"/>
      <c r="H96" s="114"/>
      <c r="I96" s="15"/>
    </row>
    <row r="97" spans="1:9" s="14" customFormat="1" ht="18.600000000000001">
      <c r="A97" s="1"/>
      <c r="B97" s="52" t="s">
        <v>801</v>
      </c>
      <c r="C97" s="47">
        <v>4</v>
      </c>
      <c r="D97" s="54" t="s">
        <v>58</v>
      </c>
      <c r="E97" s="19">
        <f>+'insumos ELECT'!E109</f>
        <v>3.4799999999999995</v>
      </c>
      <c r="F97" s="20">
        <f t="shared" si="5"/>
        <v>13.919999999999998</v>
      </c>
      <c r="G97" s="115"/>
      <c r="H97" s="114"/>
      <c r="I97" s="15"/>
    </row>
    <row r="98" spans="1:9" s="14" customFormat="1" ht="18.600000000000001">
      <c r="A98" s="1"/>
      <c r="B98" s="52" t="s">
        <v>783</v>
      </c>
      <c r="C98" s="47">
        <v>4</v>
      </c>
      <c r="D98" s="54" t="s">
        <v>58</v>
      </c>
      <c r="E98" s="19">
        <f>+'insumos ELECT'!E84</f>
        <v>7.4239999999999995</v>
      </c>
      <c r="F98" s="20">
        <f t="shared" si="5"/>
        <v>29.695999999999998</v>
      </c>
      <c r="G98" s="115"/>
      <c r="H98" s="114"/>
      <c r="I98" s="15"/>
    </row>
    <row r="99" spans="1:9" s="14" customFormat="1" ht="18.600000000000001">
      <c r="A99" s="1"/>
      <c r="B99" s="52" t="s">
        <v>831</v>
      </c>
      <c r="C99" s="47">
        <v>2</v>
      </c>
      <c r="D99" s="54" t="s">
        <v>58</v>
      </c>
      <c r="E99" s="19">
        <f>+'insumos ELECT'!E85</f>
        <v>2.0531999999999999</v>
      </c>
      <c r="F99" s="20">
        <f t="shared" si="5"/>
        <v>4.1063999999999998</v>
      </c>
      <c r="G99" s="115"/>
      <c r="H99" s="114"/>
      <c r="I99" s="15"/>
    </row>
    <row r="100" spans="1:9" s="14" customFormat="1" ht="18.600000000000001">
      <c r="A100" s="1"/>
      <c r="B100" s="52" t="s">
        <v>830</v>
      </c>
      <c r="C100" s="47">
        <v>2</v>
      </c>
      <c r="D100" s="54" t="s">
        <v>58</v>
      </c>
      <c r="E100" s="19">
        <f>+'insumos ELECT'!E86</f>
        <v>8.1199999999999992</v>
      </c>
      <c r="F100" s="20">
        <f t="shared" si="5"/>
        <v>16.239999999999998</v>
      </c>
      <c r="G100" s="115"/>
      <c r="H100" s="114"/>
      <c r="I100" s="15"/>
    </row>
    <row r="101" spans="1:9" s="14" customFormat="1" ht="18.600000000000001">
      <c r="A101" s="1"/>
      <c r="B101" s="52" t="s">
        <v>844</v>
      </c>
      <c r="C101" s="47">
        <v>1</v>
      </c>
      <c r="D101" s="54" t="s">
        <v>58</v>
      </c>
      <c r="E101" s="19">
        <f>+'insumos ELECT'!E54</f>
        <v>1276</v>
      </c>
      <c r="F101" s="20">
        <f t="shared" si="5"/>
        <v>1276</v>
      </c>
      <c r="G101" s="115"/>
      <c r="H101" s="114"/>
      <c r="I101" s="15"/>
    </row>
    <row r="102" spans="1:9" s="14" customFormat="1" ht="18.600000000000001">
      <c r="A102" s="1"/>
      <c r="B102" s="52" t="s">
        <v>133</v>
      </c>
      <c r="C102" s="47">
        <v>1</v>
      </c>
      <c r="D102" s="54" t="s">
        <v>55</v>
      </c>
      <c r="E102" s="19">
        <f>+'mano de obra ELECT'!D11</f>
        <v>700</v>
      </c>
      <c r="F102" s="20">
        <f t="shared" si="5"/>
        <v>700</v>
      </c>
      <c r="G102" s="115"/>
      <c r="H102" s="114"/>
      <c r="I102" s="15"/>
    </row>
    <row r="103" spans="1:9" s="1" customFormat="1" ht="19.2" thickBot="1">
      <c r="B103" s="42"/>
      <c r="C103" s="43"/>
      <c r="D103" s="44"/>
      <c r="E103" s="45" t="s">
        <v>775</v>
      </c>
      <c r="F103" s="46">
        <f>SUM(F90:F102)</f>
        <v>2693.4483999999998</v>
      </c>
    </row>
    <row r="104" spans="1:9" ht="16.8" thickTop="1" thickBot="1">
      <c r="A104" s="159"/>
      <c r="B104" s="156"/>
      <c r="C104" s="168"/>
      <c r="D104" s="168"/>
      <c r="E104" s="168"/>
      <c r="F104" s="169"/>
      <c r="G104" s="158"/>
      <c r="H104" s="158"/>
      <c r="I104" s="158"/>
    </row>
    <row r="105" spans="1:9" s="1" customFormat="1" ht="19.2" thickBot="1">
      <c r="A105" s="26"/>
      <c r="B105" s="36" t="s">
        <v>843</v>
      </c>
      <c r="C105" s="37"/>
      <c r="D105" s="37"/>
      <c r="E105" s="38"/>
      <c r="F105" s="39"/>
    </row>
    <row r="106" spans="1:9">
      <c r="A106" s="159"/>
      <c r="B106" s="172"/>
      <c r="C106" s="168"/>
      <c r="D106" s="168"/>
      <c r="E106" s="168"/>
      <c r="F106" s="168"/>
      <c r="G106" s="158"/>
      <c r="H106" s="158"/>
      <c r="I106" s="158"/>
    </row>
    <row r="107" spans="1:9" s="14" customFormat="1" ht="18.600000000000001">
      <c r="A107" s="1"/>
      <c r="B107" s="52" t="s">
        <v>827</v>
      </c>
      <c r="C107" s="47">
        <v>1</v>
      </c>
      <c r="D107" s="54" t="s">
        <v>58</v>
      </c>
      <c r="E107" s="19">
        <f>+'insumos ELECT'!E29</f>
        <v>40.599999999999994</v>
      </c>
      <c r="F107" s="20">
        <f t="shared" ref="F107:F120" si="6">C107*E107</f>
        <v>40.599999999999994</v>
      </c>
      <c r="G107" s="115"/>
      <c r="H107" s="114"/>
      <c r="I107" s="15"/>
    </row>
    <row r="108" spans="1:9" s="14" customFormat="1" ht="18.600000000000001">
      <c r="A108" s="1"/>
      <c r="B108" s="52" t="s">
        <v>842</v>
      </c>
      <c r="C108" s="47">
        <v>1</v>
      </c>
      <c r="D108" s="54" t="s">
        <v>58</v>
      </c>
      <c r="E108" s="19">
        <f>+'insumos ELECT'!E31</f>
        <v>20.88</v>
      </c>
      <c r="F108" s="20">
        <f t="shared" si="6"/>
        <v>20.88</v>
      </c>
      <c r="G108" s="115"/>
      <c r="H108" s="114"/>
      <c r="I108" s="15"/>
    </row>
    <row r="109" spans="1:9" s="14" customFormat="1" ht="18.600000000000001">
      <c r="A109" s="1"/>
      <c r="B109" s="52" t="s">
        <v>841</v>
      </c>
      <c r="C109" s="47">
        <v>1</v>
      </c>
      <c r="D109" s="54" t="s">
        <v>58</v>
      </c>
      <c r="E109" s="19">
        <f>+'insumos ELECT'!E33</f>
        <v>17.399999999999999</v>
      </c>
      <c r="F109" s="20">
        <f t="shared" si="6"/>
        <v>17.399999999999999</v>
      </c>
      <c r="G109" s="115"/>
      <c r="H109" s="114"/>
      <c r="I109" s="15"/>
    </row>
    <row r="110" spans="1:9" s="14" customFormat="1" ht="18.600000000000001">
      <c r="A110" s="1"/>
      <c r="B110" s="52" t="s">
        <v>805</v>
      </c>
      <c r="C110" s="47">
        <v>1.5</v>
      </c>
      <c r="D110" s="54" t="s">
        <v>58</v>
      </c>
      <c r="E110" s="19">
        <f>+'insumos ELECT'!E95</f>
        <v>149.63999999999999</v>
      </c>
      <c r="F110" s="20">
        <f t="shared" si="6"/>
        <v>224.45999999999998</v>
      </c>
      <c r="G110" s="115"/>
      <c r="H110" s="114"/>
      <c r="I110" s="15"/>
    </row>
    <row r="111" spans="1:9" s="14" customFormat="1" ht="18.600000000000001">
      <c r="A111" s="1"/>
      <c r="B111" s="52" t="s">
        <v>804</v>
      </c>
      <c r="C111" s="47">
        <v>2</v>
      </c>
      <c r="D111" s="54" t="s">
        <v>47</v>
      </c>
      <c r="E111" s="19">
        <f>+'insumos ELECT'!E96</f>
        <v>25.52</v>
      </c>
      <c r="F111" s="20">
        <f t="shared" si="6"/>
        <v>51.04</v>
      </c>
      <c r="G111" s="115"/>
      <c r="H111" s="114"/>
      <c r="I111" s="15"/>
    </row>
    <row r="112" spans="1:9" s="14" customFormat="1" ht="18.600000000000001">
      <c r="A112" s="1"/>
      <c r="B112" s="52" t="s">
        <v>773</v>
      </c>
      <c r="C112" s="47">
        <v>3</v>
      </c>
      <c r="D112" s="54" t="s">
        <v>58</v>
      </c>
      <c r="E112" s="19">
        <f>+'insumos ELECT'!E97</f>
        <v>10.44</v>
      </c>
      <c r="F112" s="20">
        <f t="shared" si="6"/>
        <v>31.32</v>
      </c>
      <c r="G112" s="115"/>
      <c r="H112" s="114"/>
      <c r="I112" s="15"/>
    </row>
    <row r="113" spans="1:9" s="14" customFormat="1" ht="18.600000000000001">
      <c r="A113" s="1"/>
      <c r="B113" s="52" t="s">
        <v>803</v>
      </c>
      <c r="C113" s="47">
        <v>2</v>
      </c>
      <c r="D113" s="54" t="s">
        <v>58</v>
      </c>
      <c r="E113" s="19">
        <f>+'insumos ELECT'!E98</f>
        <v>10.44</v>
      </c>
      <c r="F113" s="20">
        <f t="shared" si="6"/>
        <v>20.88</v>
      </c>
      <c r="G113" s="115"/>
      <c r="H113" s="114"/>
      <c r="I113" s="15"/>
    </row>
    <row r="114" spans="1:9" s="14" customFormat="1" ht="18.600000000000001">
      <c r="A114" s="1"/>
      <c r="B114" s="52" t="s">
        <v>802</v>
      </c>
      <c r="C114" s="47">
        <v>45</v>
      </c>
      <c r="D114" s="54" t="s">
        <v>47</v>
      </c>
      <c r="E114" s="19">
        <f>+'insumos ELECT'!E20</f>
        <v>6.0667999999999997</v>
      </c>
      <c r="F114" s="20">
        <f t="shared" si="6"/>
        <v>273.00599999999997</v>
      </c>
      <c r="G114" s="115"/>
      <c r="H114" s="114"/>
      <c r="I114" s="15"/>
    </row>
    <row r="115" spans="1:9" s="14" customFormat="1" ht="18.600000000000001">
      <c r="A115" s="1"/>
      <c r="B115" s="52" t="s">
        <v>840</v>
      </c>
      <c r="C115" s="47">
        <v>5</v>
      </c>
      <c r="D115" s="54" t="s">
        <v>47</v>
      </c>
      <c r="E115" s="19">
        <f>+'insumos ELECT'!E7</f>
        <v>19.72</v>
      </c>
      <c r="F115" s="20">
        <f t="shared" si="6"/>
        <v>98.6</v>
      </c>
      <c r="G115" s="115"/>
      <c r="H115" s="114"/>
      <c r="I115" s="15"/>
    </row>
    <row r="116" spans="1:9" s="14" customFormat="1" ht="18.600000000000001">
      <c r="A116" s="1"/>
      <c r="B116" s="52" t="s">
        <v>795</v>
      </c>
      <c r="C116" s="47">
        <v>0.05</v>
      </c>
      <c r="D116" s="54" t="s">
        <v>794</v>
      </c>
      <c r="E116" s="19">
        <f>+'insumos ELECT'!E27</f>
        <v>243.6</v>
      </c>
      <c r="F116" s="20">
        <f t="shared" si="6"/>
        <v>12.18</v>
      </c>
      <c r="G116" s="115"/>
      <c r="H116" s="114"/>
      <c r="I116" s="15"/>
    </row>
    <row r="117" spans="1:9" s="14" customFormat="1" ht="18.600000000000001">
      <c r="A117" s="1"/>
      <c r="B117" s="52" t="s">
        <v>801</v>
      </c>
      <c r="C117" s="47">
        <v>4</v>
      </c>
      <c r="D117" s="54" t="s">
        <v>58</v>
      </c>
      <c r="E117" s="19">
        <f>+'insumos ELECT'!E109</f>
        <v>3.4799999999999995</v>
      </c>
      <c r="F117" s="20">
        <f t="shared" si="6"/>
        <v>13.919999999999998</v>
      </c>
      <c r="G117" s="115"/>
      <c r="H117" s="114"/>
      <c r="I117" s="15"/>
    </row>
    <row r="118" spans="1:9" s="14" customFormat="1" ht="18.600000000000001">
      <c r="A118" s="1"/>
      <c r="B118" s="52" t="s">
        <v>783</v>
      </c>
      <c r="C118" s="47">
        <v>4</v>
      </c>
      <c r="D118" s="54" t="s">
        <v>58</v>
      </c>
      <c r="E118" s="19">
        <f>+'insumos ELECT'!E84</f>
        <v>7.4239999999999995</v>
      </c>
      <c r="F118" s="20">
        <f t="shared" si="6"/>
        <v>29.695999999999998</v>
      </c>
      <c r="G118" s="115"/>
      <c r="H118" s="114"/>
      <c r="I118" s="15"/>
    </row>
    <row r="119" spans="1:9" s="14" customFormat="1" ht="18.600000000000001">
      <c r="A119" s="1"/>
      <c r="B119" s="52" t="s">
        <v>839</v>
      </c>
      <c r="C119" s="47">
        <v>1</v>
      </c>
      <c r="D119" s="54" t="s">
        <v>58</v>
      </c>
      <c r="E119" s="19">
        <f>+'insumos ELECT'!E56</f>
        <v>3595.9999999999995</v>
      </c>
      <c r="F119" s="20">
        <f t="shared" si="6"/>
        <v>3595.9999999999995</v>
      </c>
      <c r="G119" s="115"/>
      <c r="H119" s="114"/>
      <c r="I119" s="15"/>
    </row>
    <row r="120" spans="1:9" s="14" customFormat="1" ht="18.600000000000001">
      <c r="A120" s="1"/>
      <c r="B120" s="52" t="s">
        <v>133</v>
      </c>
      <c r="C120" s="47">
        <v>1</v>
      </c>
      <c r="D120" s="54" t="s">
        <v>55</v>
      </c>
      <c r="E120" s="19">
        <f>+'mano de obra ELECT'!D12</f>
        <v>900</v>
      </c>
      <c r="F120" s="20">
        <f t="shared" si="6"/>
        <v>900</v>
      </c>
      <c r="G120" s="115"/>
      <c r="H120" s="114"/>
      <c r="I120" s="15"/>
    </row>
    <row r="121" spans="1:9">
      <c r="A121" s="159"/>
      <c r="B121" s="172"/>
      <c r="C121" s="171"/>
      <c r="D121" s="171"/>
      <c r="E121" s="171" t="s">
        <v>775</v>
      </c>
      <c r="F121" s="170">
        <f>SUM(F107:F120)</f>
        <v>5329.982</v>
      </c>
      <c r="G121" s="158"/>
      <c r="H121" s="158"/>
      <c r="I121" s="158"/>
    </row>
    <row r="122" spans="1:9" ht="16.2" thickBot="1">
      <c r="A122" s="159"/>
      <c r="B122" s="172"/>
      <c r="C122" s="171"/>
      <c r="D122" s="171"/>
      <c r="E122" s="171"/>
      <c r="F122" s="170"/>
      <c r="G122" s="158"/>
      <c r="H122" s="158"/>
      <c r="I122" s="158"/>
    </row>
    <row r="123" spans="1:9" s="1" customFormat="1" ht="19.2" thickBot="1">
      <c r="A123" s="26"/>
      <c r="B123" s="36" t="s">
        <v>838</v>
      </c>
      <c r="C123" s="37"/>
      <c r="D123" s="37"/>
      <c r="E123" s="38"/>
      <c r="F123" s="39"/>
    </row>
    <row r="124" spans="1:9">
      <c r="A124" s="159"/>
      <c r="B124" s="156"/>
      <c r="C124" s="168"/>
      <c r="D124" s="168"/>
      <c r="E124" s="168"/>
      <c r="F124" s="168"/>
      <c r="G124" s="158"/>
      <c r="H124" s="158"/>
      <c r="I124" s="158"/>
    </row>
    <row r="125" spans="1:9" s="14" customFormat="1" ht="18.600000000000001">
      <c r="A125" s="1"/>
      <c r="B125" s="52" t="s">
        <v>827</v>
      </c>
      <c r="C125" s="47">
        <v>1</v>
      </c>
      <c r="D125" s="54" t="s">
        <v>58</v>
      </c>
      <c r="E125" s="19">
        <f>+'insumos ELECT'!E29</f>
        <v>40.599999999999994</v>
      </c>
      <c r="F125" s="20">
        <f t="shared" ref="F125:F137" si="7">C125*E125</f>
        <v>40.599999999999994</v>
      </c>
      <c r="G125" s="115"/>
      <c r="H125" s="114"/>
      <c r="I125" s="15"/>
    </row>
    <row r="126" spans="1:9" s="14" customFormat="1" ht="18.600000000000001">
      <c r="A126" s="1"/>
      <c r="B126" s="52" t="s">
        <v>805</v>
      </c>
      <c r="C126" s="47">
        <v>1.5</v>
      </c>
      <c r="D126" s="54" t="s">
        <v>58</v>
      </c>
      <c r="E126" s="19">
        <f>+'insumos ELECT'!E95</f>
        <v>149.63999999999999</v>
      </c>
      <c r="F126" s="20">
        <f t="shared" si="7"/>
        <v>224.45999999999998</v>
      </c>
      <c r="G126" s="115"/>
      <c r="H126" s="114"/>
      <c r="I126" s="15"/>
    </row>
    <row r="127" spans="1:9" s="14" customFormat="1" ht="18.600000000000001">
      <c r="A127" s="1"/>
      <c r="B127" s="52" t="s">
        <v>804</v>
      </c>
      <c r="C127" s="47">
        <v>2</v>
      </c>
      <c r="D127" s="54" t="s">
        <v>47</v>
      </c>
      <c r="E127" s="19">
        <f>+'insumos ELECT'!E96</f>
        <v>25.52</v>
      </c>
      <c r="F127" s="20">
        <f t="shared" si="7"/>
        <v>51.04</v>
      </c>
      <c r="G127" s="115"/>
      <c r="H127" s="114"/>
      <c r="I127" s="15"/>
    </row>
    <row r="128" spans="1:9" s="14" customFormat="1" ht="18.600000000000001">
      <c r="A128" s="1"/>
      <c r="B128" s="52" t="s">
        <v>773</v>
      </c>
      <c r="C128" s="47">
        <v>3</v>
      </c>
      <c r="D128" s="54" t="s">
        <v>58</v>
      </c>
      <c r="E128" s="19">
        <f>+'insumos ELECT'!E97</f>
        <v>10.44</v>
      </c>
      <c r="F128" s="20">
        <f t="shared" si="7"/>
        <v>31.32</v>
      </c>
      <c r="G128" s="115"/>
      <c r="H128" s="114"/>
      <c r="I128" s="15"/>
    </row>
    <row r="129" spans="1:9" s="14" customFormat="1" ht="18.600000000000001">
      <c r="A129" s="1"/>
      <c r="B129" s="52" t="s">
        <v>803</v>
      </c>
      <c r="C129" s="47">
        <v>2</v>
      </c>
      <c r="D129" s="54" t="s">
        <v>58</v>
      </c>
      <c r="E129" s="19">
        <f>+'insumos ELECT'!E98</f>
        <v>10.44</v>
      </c>
      <c r="F129" s="20">
        <f t="shared" si="7"/>
        <v>20.88</v>
      </c>
      <c r="G129" s="115"/>
      <c r="H129" s="114"/>
      <c r="I129" s="15"/>
    </row>
    <row r="130" spans="1:9" s="14" customFormat="1" ht="18.600000000000001">
      <c r="A130" s="1"/>
      <c r="B130" s="52" t="s">
        <v>802</v>
      </c>
      <c r="C130" s="47">
        <v>45</v>
      </c>
      <c r="D130" s="54" t="s">
        <v>47</v>
      </c>
      <c r="E130" s="19">
        <f>+'insumos ELECT'!E20</f>
        <v>6.0667999999999997</v>
      </c>
      <c r="F130" s="20">
        <f t="shared" si="7"/>
        <v>273.00599999999997</v>
      </c>
      <c r="G130" s="115"/>
      <c r="H130" s="114"/>
      <c r="I130" s="15"/>
    </row>
    <row r="131" spans="1:9" s="14" customFormat="1" ht="18.600000000000001">
      <c r="A131" s="1"/>
      <c r="B131" s="52" t="s">
        <v>795</v>
      </c>
      <c r="C131" s="47">
        <v>0.05</v>
      </c>
      <c r="D131" s="54" t="s">
        <v>794</v>
      </c>
      <c r="E131" s="19">
        <f>+'insumos ELECT'!E27</f>
        <v>243.6</v>
      </c>
      <c r="F131" s="20">
        <f t="shared" si="7"/>
        <v>12.18</v>
      </c>
      <c r="G131" s="115"/>
      <c r="H131" s="114"/>
      <c r="I131" s="15"/>
    </row>
    <row r="132" spans="1:9" s="14" customFormat="1" ht="18.600000000000001">
      <c r="A132" s="1"/>
      <c r="B132" s="52" t="s">
        <v>801</v>
      </c>
      <c r="C132" s="47">
        <v>4</v>
      </c>
      <c r="D132" s="54" t="s">
        <v>58</v>
      </c>
      <c r="E132" s="19">
        <f>+'insumos ELECT'!E109</f>
        <v>3.4799999999999995</v>
      </c>
      <c r="F132" s="20">
        <f t="shared" si="7"/>
        <v>13.919999999999998</v>
      </c>
      <c r="G132" s="115"/>
      <c r="H132" s="114"/>
      <c r="I132" s="15"/>
    </row>
    <row r="133" spans="1:9" s="14" customFormat="1" ht="18.600000000000001">
      <c r="A133" s="1"/>
      <c r="B133" s="52" t="s">
        <v>783</v>
      </c>
      <c r="C133" s="47">
        <v>7</v>
      </c>
      <c r="D133" s="54" t="s">
        <v>58</v>
      </c>
      <c r="E133" s="19">
        <f>+'insumos ELECT'!E84</f>
        <v>7.4239999999999995</v>
      </c>
      <c r="F133" s="20">
        <f t="shared" si="7"/>
        <v>51.967999999999996</v>
      </c>
      <c r="G133" s="115"/>
      <c r="H133" s="114"/>
      <c r="I133" s="15"/>
    </row>
    <row r="134" spans="1:9" s="14" customFormat="1" ht="18.600000000000001">
      <c r="A134" s="1"/>
      <c r="B134" s="52" t="s">
        <v>831</v>
      </c>
      <c r="C134" s="47">
        <v>2</v>
      </c>
      <c r="D134" s="54" t="s">
        <v>58</v>
      </c>
      <c r="E134" s="19">
        <f>+'insumos ELECT'!E85</f>
        <v>2.0531999999999999</v>
      </c>
      <c r="F134" s="20">
        <f t="shared" si="7"/>
        <v>4.1063999999999998</v>
      </c>
      <c r="G134" s="115"/>
      <c r="H134" s="114"/>
      <c r="I134" s="15"/>
    </row>
    <row r="135" spans="1:9" s="14" customFormat="1" ht="18.600000000000001">
      <c r="A135" s="1"/>
      <c r="B135" s="52" t="s">
        <v>830</v>
      </c>
      <c r="C135" s="47">
        <v>2</v>
      </c>
      <c r="D135" s="54" t="s">
        <v>58</v>
      </c>
      <c r="E135" s="19">
        <f>+'insumos ELECT'!E86</f>
        <v>8.1199999999999992</v>
      </c>
      <c r="F135" s="20">
        <f t="shared" si="7"/>
        <v>16.239999999999998</v>
      </c>
      <c r="G135" s="115"/>
      <c r="H135" s="114"/>
      <c r="I135" s="15"/>
    </row>
    <row r="136" spans="1:9" s="14" customFormat="1" ht="18.600000000000001">
      <c r="A136" s="1"/>
      <c r="B136" s="52" t="s">
        <v>837</v>
      </c>
      <c r="C136" s="47">
        <v>1</v>
      </c>
      <c r="D136" s="54" t="s">
        <v>58</v>
      </c>
      <c r="E136" s="19">
        <f>+'insumos ELECT'!E53</f>
        <v>406</v>
      </c>
      <c r="F136" s="20">
        <f t="shared" si="7"/>
        <v>406</v>
      </c>
      <c r="G136" s="115"/>
      <c r="H136" s="114"/>
      <c r="I136" s="15"/>
    </row>
    <row r="137" spans="1:9" s="14" customFormat="1" ht="18.600000000000001">
      <c r="A137" s="1"/>
      <c r="B137" s="52" t="s">
        <v>133</v>
      </c>
      <c r="C137" s="47">
        <v>1</v>
      </c>
      <c r="D137" s="54" t="s">
        <v>55</v>
      </c>
      <c r="E137" s="19">
        <f>+'mano de obra ELECT'!D13</f>
        <v>800</v>
      </c>
      <c r="F137" s="20">
        <f t="shared" si="7"/>
        <v>800</v>
      </c>
      <c r="G137" s="115"/>
      <c r="H137" s="114"/>
      <c r="I137" s="15"/>
    </row>
    <row r="138" spans="1:9" s="1" customFormat="1" ht="19.2" thickBot="1">
      <c r="B138" s="42"/>
      <c r="C138" s="43"/>
      <c r="D138" s="44"/>
      <c r="E138" s="45" t="s">
        <v>775</v>
      </c>
      <c r="F138" s="46">
        <f>SUM(F125:F137)</f>
        <v>1945.7203999999997</v>
      </c>
    </row>
    <row r="139" spans="1:9" ht="16.8" thickTop="1" thickBot="1">
      <c r="A139" s="159"/>
      <c r="B139" s="156"/>
      <c r="C139" s="168"/>
      <c r="D139" s="168"/>
      <c r="E139" s="168"/>
      <c r="F139" s="169"/>
      <c r="G139" s="158"/>
      <c r="H139" s="158"/>
      <c r="I139" s="158"/>
    </row>
    <row r="140" spans="1:9" s="1" customFormat="1" ht="19.2" thickBot="1">
      <c r="A140" s="26"/>
      <c r="B140" s="36" t="s">
        <v>836</v>
      </c>
      <c r="C140" s="37"/>
      <c r="D140" s="37"/>
      <c r="E140" s="38"/>
      <c r="F140" s="39"/>
    </row>
    <row r="141" spans="1:9">
      <c r="A141" s="159"/>
      <c r="B141" s="156"/>
      <c r="C141" s="168"/>
      <c r="D141" s="168"/>
      <c r="E141" s="168"/>
      <c r="F141" s="168"/>
      <c r="G141" s="158"/>
      <c r="H141" s="158"/>
      <c r="I141" s="158"/>
    </row>
    <row r="142" spans="1:9" s="14" customFormat="1" ht="18.600000000000001">
      <c r="A142" s="1"/>
      <c r="B142" s="52" t="s">
        <v>827</v>
      </c>
      <c r="C142" s="47">
        <v>1</v>
      </c>
      <c r="D142" s="54" t="s">
        <v>58</v>
      </c>
      <c r="E142" s="19">
        <f>+'insumos ELECT'!E29</f>
        <v>40.599999999999994</v>
      </c>
      <c r="F142" s="20">
        <f t="shared" ref="F142:F154" si="8">C142*E142</f>
        <v>40.599999999999994</v>
      </c>
      <c r="G142" s="115"/>
      <c r="H142" s="114"/>
      <c r="I142" s="15"/>
    </row>
    <row r="143" spans="1:9" s="14" customFormat="1" ht="18.600000000000001">
      <c r="A143" s="1"/>
      <c r="B143" s="52" t="s">
        <v>805</v>
      </c>
      <c r="C143" s="47">
        <v>1.5</v>
      </c>
      <c r="D143" s="54" t="s">
        <v>58</v>
      </c>
      <c r="E143" s="19">
        <f>+'insumos ELECT'!E95</f>
        <v>149.63999999999999</v>
      </c>
      <c r="F143" s="20">
        <f t="shared" si="8"/>
        <v>224.45999999999998</v>
      </c>
      <c r="G143" s="115"/>
      <c r="H143" s="114"/>
      <c r="I143" s="15"/>
    </row>
    <row r="144" spans="1:9" s="14" customFormat="1" ht="18.600000000000001">
      <c r="A144" s="1"/>
      <c r="B144" s="52" t="s">
        <v>804</v>
      </c>
      <c r="C144" s="47">
        <v>2</v>
      </c>
      <c r="D144" s="54" t="s">
        <v>47</v>
      </c>
      <c r="E144" s="19">
        <f>+'insumos ELECT'!E96</f>
        <v>25.52</v>
      </c>
      <c r="F144" s="20">
        <f t="shared" si="8"/>
        <v>51.04</v>
      </c>
      <c r="G144" s="115"/>
      <c r="H144" s="114"/>
      <c r="I144" s="15"/>
    </row>
    <row r="145" spans="1:9" s="14" customFormat="1" ht="18.600000000000001">
      <c r="A145" s="1"/>
      <c r="B145" s="52" t="s">
        <v>773</v>
      </c>
      <c r="C145" s="47">
        <v>3</v>
      </c>
      <c r="D145" s="54" t="s">
        <v>58</v>
      </c>
      <c r="E145" s="19">
        <f>+'insumos ELECT'!E97</f>
        <v>10.44</v>
      </c>
      <c r="F145" s="20">
        <f t="shared" si="8"/>
        <v>31.32</v>
      </c>
      <c r="G145" s="115"/>
      <c r="H145" s="114"/>
      <c r="I145" s="15"/>
    </row>
    <row r="146" spans="1:9" s="14" customFormat="1" ht="18.600000000000001">
      <c r="A146" s="1"/>
      <c r="B146" s="52" t="s">
        <v>803</v>
      </c>
      <c r="C146" s="47">
        <v>2</v>
      </c>
      <c r="D146" s="54" t="s">
        <v>58</v>
      </c>
      <c r="E146" s="19">
        <f>+'insumos ELECT'!E98</f>
        <v>10.44</v>
      </c>
      <c r="F146" s="20">
        <f t="shared" si="8"/>
        <v>20.88</v>
      </c>
      <c r="G146" s="115"/>
      <c r="H146" s="114"/>
      <c r="I146" s="15"/>
    </row>
    <row r="147" spans="1:9" s="14" customFormat="1" ht="18.600000000000001">
      <c r="A147" s="1"/>
      <c r="B147" s="52" t="s">
        <v>802</v>
      </c>
      <c r="C147" s="47">
        <v>45</v>
      </c>
      <c r="D147" s="54" t="s">
        <v>47</v>
      </c>
      <c r="E147" s="19">
        <f>+'insumos ELECT'!E20</f>
        <v>6.0667999999999997</v>
      </c>
      <c r="F147" s="20">
        <f t="shared" si="8"/>
        <v>273.00599999999997</v>
      </c>
      <c r="G147" s="115"/>
      <c r="H147" s="114"/>
      <c r="I147" s="15"/>
    </row>
    <row r="148" spans="1:9" s="14" customFormat="1" ht="18.600000000000001">
      <c r="A148" s="1"/>
      <c r="B148" s="52" t="s">
        <v>795</v>
      </c>
      <c r="C148" s="47">
        <v>0.05</v>
      </c>
      <c r="D148" s="54" t="s">
        <v>794</v>
      </c>
      <c r="E148" s="19">
        <f>+'insumos ELECT'!E27</f>
        <v>243.6</v>
      </c>
      <c r="F148" s="20">
        <f t="shared" si="8"/>
        <v>12.18</v>
      </c>
      <c r="G148" s="115"/>
      <c r="H148" s="114"/>
      <c r="I148" s="15"/>
    </row>
    <row r="149" spans="1:9" s="14" customFormat="1" ht="18.600000000000001">
      <c r="A149" s="1"/>
      <c r="B149" s="52" t="s">
        <v>801</v>
      </c>
      <c r="C149" s="47">
        <v>4</v>
      </c>
      <c r="D149" s="54" t="s">
        <v>58</v>
      </c>
      <c r="E149" s="19">
        <f>+'insumos ELECT'!E109</f>
        <v>3.4799999999999995</v>
      </c>
      <c r="F149" s="20">
        <f t="shared" si="8"/>
        <v>13.919999999999998</v>
      </c>
      <c r="G149" s="115"/>
      <c r="H149" s="114"/>
      <c r="I149" s="15"/>
    </row>
    <row r="150" spans="1:9" s="14" customFormat="1" ht="18.600000000000001">
      <c r="A150" s="1"/>
      <c r="B150" s="52" t="s">
        <v>783</v>
      </c>
      <c r="C150" s="47">
        <v>4</v>
      </c>
      <c r="D150" s="54" t="s">
        <v>58</v>
      </c>
      <c r="E150" s="19">
        <f>+'insumos ELECT'!E84</f>
        <v>7.4239999999999995</v>
      </c>
      <c r="F150" s="20">
        <f t="shared" si="8"/>
        <v>29.695999999999998</v>
      </c>
      <c r="G150" s="115"/>
      <c r="H150" s="114"/>
      <c r="I150" s="15"/>
    </row>
    <row r="151" spans="1:9" s="14" customFormat="1" ht="18.600000000000001">
      <c r="A151" s="1"/>
      <c r="B151" s="52" t="s">
        <v>835</v>
      </c>
      <c r="C151" s="47">
        <v>1</v>
      </c>
      <c r="D151" s="54" t="s">
        <v>58</v>
      </c>
      <c r="E151" s="19">
        <f>+'insumos ELECT'!E89</f>
        <v>13.919999999999998</v>
      </c>
      <c r="F151" s="20">
        <f t="shared" si="8"/>
        <v>13.919999999999998</v>
      </c>
      <c r="G151" s="115"/>
      <c r="H151" s="114"/>
      <c r="I151" s="15"/>
    </row>
    <row r="152" spans="1:9" s="14" customFormat="1" ht="18.600000000000001">
      <c r="A152" s="1"/>
      <c r="B152" s="52" t="s">
        <v>834</v>
      </c>
      <c r="C152" s="47">
        <v>1</v>
      </c>
      <c r="D152" s="54" t="s">
        <v>58</v>
      </c>
      <c r="E152" s="19">
        <f>+'insumos ELECT'!E90</f>
        <v>13.919999999999998</v>
      </c>
      <c r="F152" s="20">
        <f t="shared" si="8"/>
        <v>13.919999999999998</v>
      </c>
      <c r="G152" s="115"/>
      <c r="H152" s="114"/>
      <c r="I152" s="15"/>
    </row>
    <row r="153" spans="1:9" s="14" customFormat="1" ht="18.600000000000001">
      <c r="A153" s="1"/>
      <c r="B153" s="52" t="s">
        <v>833</v>
      </c>
      <c r="C153" s="47">
        <v>1</v>
      </c>
      <c r="D153" s="54" t="s">
        <v>58</v>
      </c>
      <c r="E153" s="19">
        <f>+'insumos ELECT'!E91</f>
        <v>3325.0007999999998</v>
      </c>
      <c r="F153" s="20">
        <f t="shared" si="8"/>
        <v>3325.0007999999998</v>
      </c>
      <c r="G153" s="115"/>
      <c r="H153" s="114"/>
      <c r="I153" s="15"/>
    </row>
    <row r="154" spans="1:9" s="14" customFormat="1" ht="18.600000000000001">
      <c r="A154" s="1"/>
      <c r="B154" s="52" t="s">
        <v>133</v>
      </c>
      <c r="C154" s="47">
        <v>1</v>
      </c>
      <c r="D154" s="54" t="s">
        <v>55</v>
      </c>
      <c r="E154" s="19">
        <f>+'mano de obra ELECT'!D14</f>
        <v>1200</v>
      </c>
      <c r="F154" s="20">
        <f t="shared" si="8"/>
        <v>1200</v>
      </c>
      <c r="G154" s="115"/>
      <c r="H154" s="114"/>
      <c r="I154" s="15"/>
    </row>
    <row r="155" spans="1:9" s="1" customFormat="1" ht="19.2" thickBot="1">
      <c r="B155" s="42"/>
      <c r="C155" s="43"/>
      <c r="D155" s="44"/>
      <c r="E155" s="45" t="s">
        <v>775</v>
      </c>
      <c r="F155" s="46">
        <f>SUM(F142:F154)</f>
        <v>5249.9427999999998</v>
      </c>
    </row>
    <row r="156" spans="1:9" ht="16.8" thickTop="1" thickBot="1">
      <c r="A156" s="159"/>
      <c r="B156" s="156"/>
      <c r="C156" s="168"/>
      <c r="D156" s="168"/>
      <c r="E156" s="168"/>
      <c r="F156" s="169"/>
      <c r="G156" s="158"/>
      <c r="H156" s="158"/>
      <c r="I156" s="158"/>
    </row>
    <row r="157" spans="1:9" s="1" customFormat="1" ht="19.2" thickBot="1">
      <c r="A157" s="26"/>
      <c r="B157" s="36" t="s">
        <v>832</v>
      </c>
      <c r="C157" s="37"/>
      <c r="D157" s="37"/>
      <c r="E157" s="38"/>
      <c r="F157" s="39"/>
    </row>
    <row r="158" spans="1:9">
      <c r="A158" s="159"/>
      <c r="B158" s="156"/>
      <c r="C158" s="168"/>
      <c r="D158" s="168"/>
      <c r="E158" s="168"/>
      <c r="F158" s="168"/>
      <c r="G158" s="158"/>
      <c r="H158" s="158"/>
      <c r="I158" s="158"/>
    </row>
    <row r="159" spans="1:9" s="14" customFormat="1" ht="18.600000000000001">
      <c r="A159" s="1"/>
      <c r="B159" s="52" t="s">
        <v>827</v>
      </c>
      <c r="C159" s="47">
        <v>1</v>
      </c>
      <c r="D159" s="54" t="s">
        <v>58</v>
      </c>
      <c r="E159" s="19">
        <f>+'insumos ELECT'!E29</f>
        <v>40.599999999999994</v>
      </c>
      <c r="F159" s="20">
        <f t="shared" ref="F159:F171" si="9">C159*E159</f>
        <v>40.599999999999994</v>
      </c>
      <c r="G159" s="115"/>
      <c r="H159" s="114"/>
      <c r="I159" s="15"/>
    </row>
    <row r="160" spans="1:9" s="14" customFormat="1" ht="18.600000000000001">
      <c r="A160" s="1"/>
      <c r="B160" s="52" t="s">
        <v>805</v>
      </c>
      <c r="C160" s="47">
        <v>1.5</v>
      </c>
      <c r="D160" s="54" t="s">
        <v>58</v>
      </c>
      <c r="E160" s="19">
        <f>+'insumos ELECT'!E95</f>
        <v>149.63999999999999</v>
      </c>
      <c r="F160" s="20">
        <f t="shared" si="9"/>
        <v>224.45999999999998</v>
      </c>
      <c r="G160" s="115"/>
      <c r="H160" s="114"/>
      <c r="I160" s="15"/>
    </row>
    <row r="161" spans="1:9" s="14" customFormat="1" ht="18.600000000000001">
      <c r="A161" s="1"/>
      <c r="B161" s="52" t="s">
        <v>804</v>
      </c>
      <c r="C161" s="47">
        <v>2</v>
      </c>
      <c r="D161" s="54" t="s">
        <v>47</v>
      </c>
      <c r="E161" s="19">
        <f>+'insumos ELECT'!E96</f>
        <v>25.52</v>
      </c>
      <c r="F161" s="20">
        <f t="shared" si="9"/>
        <v>51.04</v>
      </c>
      <c r="G161" s="115"/>
      <c r="H161" s="114"/>
      <c r="I161" s="15"/>
    </row>
    <row r="162" spans="1:9" s="14" customFormat="1" ht="18.600000000000001">
      <c r="A162" s="1"/>
      <c r="B162" s="52" t="s">
        <v>773</v>
      </c>
      <c r="C162" s="47">
        <v>3</v>
      </c>
      <c r="D162" s="54" t="s">
        <v>58</v>
      </c>
      <c r="E162" s="19">
        <f>+'insumos ELECT'!E97</f>
        <v>10.44</v>
      </c>
      <c r="F162" s="20">
        <f t="shared" si="9"/>
        <v>31.32</v>
      </c>
      <c r="G162" s="115"/>
      <c r="H162" s="114"/>
      <c r="I162" s="15"/>
    </row>
    <row r="163" spans="1:9" s="14" customFormat="1" ht="18.600000000000001">
      <c r="A163" s="1"/>
      <c r="B163" s="52" t="s">
        <v>803</v>
      </c>
      <c r="C163" s="47">
        <v>2</v>
      </c>
      <c r="D163" s="54" t="s">
        <v>58</v>
      </c>
      <c r="E163" s="19">
        <f>+'insumos ELECT'!E98</f>
        <v>10.44</v>
      </c>
      <c r="F163" s="20">
        <f t="shared" si="9"/>
        <v>20.88</v>
      </c>
      <c r="G163" s="115"/>
      <c r="H163" s="114"/>
      <c r="I163" s="15"/>
    </row>
    <row r="164" spans="1:9" s="14" customFormat="1" ht="18.600000000000001">
      <c r="A164" s="1"/>
      <c r="B164" s="52" t="s">
        <v>802</v>
      </c>
      <c r="C164" s="47">
        <v>45</v>
      </c>
      <c r="D164" s="54" t="s">
        <v>47</v>
      </c>
      <c r="E164" s="19">
        <f>+'insumos ELECT'!E20</f>
        <v>6.0667999999999997</v>
      </c>
      <c r="F164" s="20">
        <f t="shared" si="9"/>
        <v>273.00599999999997</v>
      </c>
      <c r="G164" s="115"/>
      <c r="H164" s="114"/>
      <c r="I164" s="15"/>
    </row>
    <row r="165" spans="1:9" s="14" customFormat="1" ht="18.600000000000001">
      <c r="A165" s="1"/>
      <c r="B165" s="52" t="s">
        <v>795</v>
      </c>
      <c r="C165" s="47">
        <v>0.05</v>
      </c>
      <c r="D165" s="54" t="s">
        <v>794</v>
      </c>
      <c r="E165" s="19">
        <f>+'insumos ELECT'!E27</f>
        <v>243.6</v>
      </c>
      <c r="F165" s="20">
        <f t="shared" si="9"/>
        <v>12.18</v>
      </c>
      <c r="G165" s="115"/>
      <c r="H165" s="114"/>
      <c r="I165" s="15"/>
    </row>
    <row r="166" spans="1:9" s="14" customFormat="1" ht="18.600000000000001">
      <c r="A166" s="1"/>
      <c r="B166" s="52" t="s">
        <v>801</v>
      </c>
      <c r="C166" s="47">
        <v>4</v>
      </c>
      <c r="D166" s="54" t="s">
        <v>58</v>
      </c>
      <c r="E166" s="19">
        <f>+'insumos ELECT'!E109</f>
        <v>3.4799999999999995</v>
      </c>
      <c r="F166" s="20">
        <f t="shared" si="9"/>
        <v>13.919999999999998</v>
      </c>
      <c r="G166" s="115"/>
      <c r="H166" s="114"/>
      <c r="I166" s="15"/>
    </row>
    <row r="167" spans="1:9" s="14" customFormat="1" ht="18.600000000000001">
      <c r="A167" s="1"/>
      <c r="B167" s="52" t="s">
        <v>783</v>
      </c>
      <c r="C167" s="47">
        <v>4</v>
      </c>
      <c r="D167" s="54" t="s">
        <v>58</v>
      </c>
      <c r="E167" s="19">
        <f>+'insumos ELECT'!E84</f>
        <v>7.4239999999999995</v>
      </c>
      <c r="F167" s="20">
        <f t="shared" si="9"/>
        <v>29.695999999999998</v>
      </c>
      <c r="G167" s="115"/>
      <c r="H167" s="114"/>
      <c r="I167" s="15"/>
    </row>
    <row r="168" spans="1:9" s="14" customFormat="1" ht="18.600000000000001">
      <c r="A168" s="1"/>
      <c r="B168" s="52" t="s">
        <v>831</v>
      </c>
      <c r="C168" s="47">
        <v>1</v>
      </c>
      <c r="D168" s="54" t="str">
        <f>+D159</f>
        <v>UD</v>
      </c>
      <c r="E168" s="19">
        <f>+'insumos ELECT'!E85</f>
        <v>2.0531999999999999</v>
      </c>
      <c r="F168" s="20">
        <f t="shared" si="9"/>
        <v>2.0531999999999999</v>
      </c>
      <c r="G168" s="115"/>
      <c r="H168" s="114"/>
      <c r="I168" s="15"/>
    </row>
    <row r="169" spans="1:9" s="14" customFormat="1" ht="18.600000000000001">
      <c r="A169" s="1"/>
      <c r="B169" s="52" t="s">
        <v>830</v>
      </c>
      <c r="C169" s="47">
        <v>1</v>
      </c>
      <c r="D169" s="54" t="s">
        <v>58</v>
      </c>
      <c r="E169" s="19">
        <f>+'insumos ELECT'!E86</f>
        <v>8.1199999999999992</v>
      </c>
      <c r="F169" s="20">
        <f t="shared" si="9"/>
        <v>8.1199999999999992</v>
      </c>
      <c r="G169" s="115"/>
      <c r="H169" s="114"/>
      <c r="I169" s="15"/>
    </row>
    <row r="170" spans="1:9" s="14" customFormat="1" ht="18.600000000000001">
      <c r="A170" s="1"/>
      <c r="B170" s="52" t="s">
        <v>829</v>
      </c>
      <c r="C170" s="47">
        <v>1</v>
      </c>
      <c r="D170" s="54" t="s">
        <v>58</v>
      </c>
      <c r="E170" s="19">
        <f>+'insumos ELECT'!E92</f>
        <v>5249.9975999999997</v>
      </c>
      <c r="F170" s="20">
        <f t="shared" si="9"/>
        <v>5249.9975999999997</v>
      </c>
      <c r="G170" s="115"/>
      <c r="H170" s="114"/>
      <c r="I170" s="15"/>
    </row>
    <row r="171" spans="1:9" s="14" customFormat="1" ht="18.600000000000001">
      <c r="A171" s="1"/>
      <c r="B171" s="52" t="s">
        <v>133</v>
      </c>
      <c r="C171" s="47">
        <v>1</v>
      </c>
      <c r="D171" s="54" t="s">
        <v>55</v>
      </c>
      <c r="E171" s="19">
        <f>+'mano de obra ELECT'!D15</f>
        <v>950</v>
      </c>
      <c r="F171" s="20">
        <f t="shared" si="9"/>
        <v>950</v>
      </c>
      <c r="G171" s="115"/>
      <c r="H171" s="114"/>
      <c r="I171" s="15"/>
    </row>
    <row r="172" spans="1:9" s="1" customFormat="1" ht="19.2" thickBot="1">
      <c r="B172" s="42"/>
      <c r="C172" s="43"/>
      <c r="D172" s="44"/>
      <c r="E172" s="45" t="s">
        <v>775</v>
      </c>
      <c r="F172" s="46">
        <f>SUM(F159:F171)</f>
        <v>6907.2727999999997</v>
      </c>
    </row>
    <row r="173" spans="1:9" ht="16.8" thickTop="1" thickBot="1">
      <c r="A173" s="159"/>
      <c r="B173" s="156"/>
      <c r="C173" s="168"/>
      <c r="D173" s="168"/>
      <c r="E173" s="168"/>
      <c r="F173" s="169"/>
      <c r="G173" s="158"/>
      <c r="H173" s="158"/>
      <c r="I173" s="158"/>
    </row>
    <row r="174" spans="1:9" s="1" customFormat="1" ht="19.2" thickBot="1">
      <c r="A174" s="26"/>
      <c r="B174" s="36" t="s">
        <v>828</v>
      </c>
      <c r="C174" s="37"/>
      <c r="D174" s="37"/>
      <c r="E174" s="38"/>
      <c r="F174" s="39"/>
    </row>
    <row r="175" spans="1:9">
      <c r="A175" s="159"/>
      <c r="B175" s="156"/>
      <c r="C175" s="168"/>
      <c r="D175" s="168"/>
      <c r="E175" s="168"/>
      <c r="F175" s="168"/>
      <c r="G175" s="158"/>
      <c r="H175" s="158"/>
      <c r="I175" s="158"/>
    </row>
    <row r="176" spans="1:9" s="14" customFormat="1" ht="18.600000000000001">
      <c r="A176" s="1"/>
      <c r="B176" s="52" t="s">
        <v>827</v>
      </c>
      <c r="C176" s="47">
        <v>1</v>
      </c>
      <c r="D176" s="54" t="s">
        <v>58</v>
      </c>
      <c r="E176" s="19">
        <f>+'insumos ELECT'!E29</f>
        <v>40.599999999999994</v>
      </c>
      <c r="F176" s="20">
        <f t="shared" ref="F176:F186" si="10">C176*E176</f>
        <v>40.599999999999994</v>
      </c>
      <c r="G176" s="115"/>
      <c r="H176" s="114"/>
      <c r="I176" s="15"/>
    </row>
    <row r="177" spans="1:9" s="14" customFormat="1" ht="18.600000000000001">
      <c r="A177" s="1"/>
      <c r="B177" s="52" t="s">
        <v>805</v>
      </c>
      <c r="C177" s="47">
        <v>1.5</v>
      </c>
      <c r="D177" s="54" t="s">
        <v>58</v>
      </c>
      <c r="E177" s="19">
        <f>+'insumos ELECT'!E95</f>
        <v>149.63999999999999</v>
      </c>
      <c r="F177" s="20">
        <f t="shared" si="10"/>
        <v>224.45999999999998</v>
      </c>
      <c r="G177" s="115"/>
      <c r="H177" s="114"/>
      <c r="I177" s="15"/>
    </row>
    <row r="178" spans="1:9" s="14" customFormat="1" ht="18.600000000000001">
      <c r="A178" s="1"/>
      <c r="B178" s="52" t="s">
        <v>804</v>
      </c>
      <c r="C178" s="47">
        <v>2</v>
      </c>
      <c r="D178" s="54" t="s">
        <v>47</v>
      </c>
      <c r="E178" s="19">
        <f>+'insumos ELECT'!E96</f>
        <v>25.52</v>
      </c>
      <c r="F178" s="20">
        <f t="shared" si="10"/>
        <v>51.04</v>
      </c>
      <c r="G178" s="115"/>
      <c r="H178" s="114"/>
      <c r="I178" s="15"/>
    </row>
    <row r="179" spans="1:9" s="14" customFormat="1" ht="18.600000000000001">
      <c r="A179" s="1"/>
      <c r="B179" s="52" t="s">
        <v>773</v>
      </c>
      <c r="C179" s="47">
        <v>3</v>
      </c>
      <c r="D179" s="54" t="s">
        <v>58</v>
      </c>
      <c r="E179" s="19">
        <f>+'insumos ELECT'!E97</f>
        <v>10.44</v>
      </c>
      <c r="F179" s="20">
        <f t="shared" si="10"/>
        <v>31.32</v>
      </c>
      <c r="G179" s="115"/>
      <c r="H179" s="114"/>
      <c r="I179" s="15"/>
    </row>
    <row r="180" spans="1:9" s="14" customFormat="1" ht="18.600000000000001">
      <c r="A180" s="1"/>
      <c r="B180" s="52" t="s">
        <v>803</v>
      </c>
      <c r="C180" s="47">
        <v>2</v>
      </c>
      <c r="D180" s="54" t="s">
        <v>58</v>
      </c>
      <c r="E180" s="19">
        <f>+'insumos ELECT'!E98</f>
        <v>10.44</v>
      </c>
      <c r="F180" s="20">
        <f t="shared" si="10"/>
        <v>20.88</v>
      </c>
      <c r="G180" s="115"/>
      <c r="H180" s="114"/>
      <c r="I180" s="15"/>
    </row>
    <row r="181" spans="1:9" s="14" customFormat="1" ht="18.600000000000001">
      <c r="A181" s="1"/>
      <c r="B181" s="52" t="s">
        <v>802</v>
      </c>
      <c r="C181" s="47">
        <v>45</v>
      </c>
      <c r="D181" s="54" t="s">
        <v>47</v>
      </c>
      <c r="E181" s="19">
        <f>+'insumos ELECT'!E20</f>
        <v>6.0667999999999997</v>
      </c>
      <c r="F181" s="20">
        <f t="shared" si="10"/>
        <v>273.00599999999997</v>
      </c>
      <c r="G181" s="115"/>
      <c r="H181" s="114"/>
      <c r="I181" s="15"/>
    </row>
    <row r="182" spans="1:9" s="14" customFormat="1" ht="18.600000000000001">
      <c r="A182" s="1"/>
      <c r="B182" s="52" t="s">
        <v>795</v>
      </c>
      <c r="C182" s="47">
        <v>0.05</v>
      </c>
      <c r="D182" s="54" t="s">
        <v>794</v>
      </c>
      <c r="E182" s="19">
        <f>+'insumos ELECT'!E27</f>
        <v>243.6</v>
      </c>
      <c r="F182" s="20">
        <f t="shared" si="10"/>
        <v>12.18</v>
      </c>
      <c r="G182" s="115"/>
      <c r="H182" s="114"/>
      <c r="I182" s="15"/>
    </row>
    <row r="183" spans="1:9" s="14" customFormat="1" ht="18.600000000000001">
      <c r="A183" s="1"/>
      <c r="B183" s="52" t="s">
        <v>801</v>
      </c>
      <c r="C183" s="47">
        <v>4</v>
      </c>
      <c r="D183" s="54" t="s">
        <v>58</v>
      </c>
      <c r="E183" s="19">
        <f>+'insumos ELECT'!E109</f>
        <v>3.4799999999999995</v>
      </c>
      <c r="F183" s="20">
        <f t="shared" si="10"/>
        <v>13.919999999999998</v>
      </c>
      <c r="G183" s="115"/>
      <c r="H183" s="114"/>
      <c r="I183" s="15"/>
    </row>
    <row r="184" spans="1:9" s="14" customFormat="1" ht="18.600000000000001">
      <c r="A184" s="1"/>
      <c r="B184" s="52" t="s">
        <v>783</v>
      </c>
      <c r="C184" s="47">
        <v>7</v>
      </c>
      <c r="D184" s="54" t="s">
        <v>58</v>
      </c>
      <c r="E184" s="19">
        <f>+'insumos ELECT'!E84</f>
        <v>7.4239999999999995</v>
      </c>
      <c r="F184" s="20">
        <f t="shared" si="10"/>
        <v>51.967999999999996</v>
      </c>
      <c r="G184" s="115"/>
      <c r="H184" s="114"/>
      <c r="I184" s="15"/>
    </row>
    <row r="185" spans="1:9" s="14" customFormat="1" ht="18.600000000000001">
      <c r="A185" s="1"/>
      <c r="B185" s="52" t="s">
        <v>826</v>
      </c>
      <c r="C185" s="47">
        <v>1</v>
      </c>
      <c r="D185" s="54" t="s">
        <v>58</v>
      </c>
      <c r="E185" s="19">
        <f>+'insumos ELECT'!E93</f>
        <v>4350</v>
      </c>
      <c r="F185" s="20">
        <f t="shared" si="10"/>
        <v>4350</v>
      </c>
      <c r="G185" s="115"/>
      <c r="H185" s="114"/>
      <c r="I185" s="15"/>
    </row>
    <row r="186" spans="1:9" s="14" customFormat="1" ht="18.600000000000001">
      <c r="A186" s="1"/>
      <c r="B186" s="52" t="s">
        <v>133</v>
      </c>
      <c r="C186" s="47">
        <v>1</v>
      </c>
      <c r="D186" s="54" t="s">
        <v>55</v>
      </c>
      <c r="E186" s="19">
        <f>+'mano de obra ELECT'!D16</f>
        <v>750</v>
      </c>
      <c r="F186" s="20">
        <f t="shared" si="10"/>
        <v>750</v>
      </c>
      <c r="G186" s="115"/>
      <c r="H186" s="114"/>
      <c r="I186" s="15"/>
    </row>
    <row r="187" spans="1:9" s="1" customFormat="1" ht="19.2" thickBot="1">
      <c r="B187" s="42"/>
      <c r="C187" s="43"/>
      <c r="D187" s="44"/>
      <c r="E187" s="45" t="s">
        <v>775</v>
      </c>
      <c r="F187" s="46">
        <f>SUM(F176:F186)</f>
        <v>5819.3739999999998</v>
      </c>
    </row>
    <row r="188" spans="1:9" ht="16.8" thickTop="1" thickBot="1">
      <c r="A188" s="159"/>
      <c r="B188" s="156"/>
      <c r="C188" s="168"/>
      <c r="D188" s="168"/>
      <c r="E188" s="168"/>
      <c r="F188" s="169"/>
      <c r="G188" s="158"/>
      <c r="H188" s="158"/>
      <c r="I188" s="158"/>
    </row>
    <row r="189" spans="1:9" s="1" customFormat="1" ht="19.2" thickBot="1">
      <c r="A189" s="26"/>
      <c r="B189" s="36" t="s">
        <v>825</v>
      </c>
      <c r="C189" s="37"/>
      <c r="D189" s="37"/>
      <c r="E189" s="38"/>
      <c r="F189" s="39"/>
    </row>
    <row r="190" spans="1:9">
      <c r="A190" s="159"/>
      <c r="B190" s="156"/>
      <c r="C190" s="168"/>
      <c r="D190" s="168"/>
      <c r="E190" s="168"/>
      <c r="F190" s="168"/>
      <c r="G190" s="158"/>
      <c r="H190" s="158"/>
      <c r="I190" s="158"/>
    </row>
    <row r="191" spans="1:9" s="14" customFormat="1" ht="18.600000000000001">
      <c r="A191" s="1"/>
      <c r="B191" s="52" t="s">
        <v>772</v>
      </c>
      <c r="C191" s="47">
        <v>1</v>
      </c>
      <c r="D191" s="54" t="s">
        <v>58</v>
      </c>
      <c r="E191" s="19">
        <f>+'insumos ELECT'!E35</f>
        <v>33.64</v>
      </c>
      <c r="F191" s="20">
        <f t="shared" ref="F191:F201" si="11">C191*E191</f>
        <v>33.64</v>
      </c>
      <c r="G191" s="115"/>
      <c r="H191" s="114"/>
      <c r="I191" s="15"/>
    </row>
    <row r="192" spans="1:9" s="14" customFormat="1" ht="18.600000000000001">
      <c r="A192" s="1"/>
      <c r="B192" s="52" t="s">
        <v>805</v>
      </c>
      <c r="C192" s="47">
        <v>1.5</v>
      </c>
      <c r="D192" s="54" t="s">
        <v>58</v>
      </c>
      <c r="E192" s="19">
        <f>+'insumos ELECT'!E95</f>
        <v>149.63999999999999</v>
      </c>
      <c r="F192" s="20">
        <f t="shared" si="11"/>
        <v>224.45999999999998</v>
      </c>
      <c r="G192" s="115"/>
      <c r="H192" s="114"/>
      <c r="I192" s="15"/>
    </row>
    <row r="193" spans="1:9" s="14" customFormat="1" ht="18.600000000000001">
      <c r="A193" s="1"/>
      <c r="B193" s="52" t="s">
        <v>804</v>
      </c>
      <c r="C193" s="47">
        <v>2</v>
      </c>
      <c r="D193" s="54" t="s">
        <v>47</v>
      </c>
      <c r="E193" s="19">
        <f>+'insumos ELECT'!E96</f>
        <v>25.52</v>
      </c>
      <c r="F193" s="20">
        <f t="shared" si="11"/>
        <v>51.04</v>
      </c>
      <c r="G193" s="115"/>
      <c r="H193" s="114"/>
      <c r="I193" s="15"/>
    </row>
    <row r="194" spans="1:9" s="14" customFormat="1" ht="18.600000000000001">
      <c r="A194" s="1"/>
      <c r="B194" s="52" t="s">
        <v>773</v>
      </c>
      <c r="C194" s="47">
        <v>3</v>
      </c>
      <c r="D194" s="54" t="s">
        <v>58</v>
      </c>
      <c r="E194" s="19">
        <f>+'insumos ELECT'!E97</f>
        <v>10.44</v>
      </c>
      <c r="F194" s="20">
        <f t="shared" si="11"/>
        <v>31.32</v>
      </c>
      <c r="G194" s="115"/>
      <c r="H194" s="114"/>
      <c r="I194" s="15"/>
    </row>
    <row r="195" spans="1:9" s="14" customFormat="1" ht="18.600000000000001">
      <c r="A195" s="1"/>
      <c r="B195" s="52" t="s">
        <v>803</v>
      </c>
      <c r="C195" s="47">
        <v>2</v>
      </c>
      <c r="D195" s="54" t="s">
        <v>58</v>
      </c>
      <c r="E195" s="19">
        <f>+'insumos ELECT'!E98</f>
        <v>10.44</v>
      </c>
      <c r="F195" s="20">
        <f t="shared" si="11"/>
        <v>20.88</v>
      </c>
      <c r="G195" s="115"/>
      <c r="H195" s="114"/>
      <c r="I195" s="15"/>
    </row>
    <row r="196" spans="1:9" s="14" customFormat="1" ht="18.600000000000001">
      <c r="A196" s="1"/>
      <c r="B196" s="52" t="s">
        <v>802</v>
      </c>
      <c r="C196" s="47">
        <v>45</v>
      </c>
      <c r="D196" s="54" t="s">
        <v>47</v>
      </c>
      <c r="E196" s="19">
        <f>+'insumos ELECT'!E20</f>
        <v>6.0667999999999997</v>
      </c>
      <c r="F196" s="20">
        <f t="shared" si="11"/>
        <v>273.00599999999997</v>
      </c>
      <c r="G196" s="115"/>
      <c r="H196" s="114"/>
      <c r="I196" s="15"/>
    </row>
    <row r="197" spans="1:9" s="14" customFormat="1" ht="18.600000000000001">
      <c r="A197" s="1"/>
      <c r="B197" s="52" t="s">
        <v>795</v>
      </c>
      <c r="C197" s="47">
        <v>0.05</v>
      </c>
      <c r="D197" s="54" t="s">
        <v>794</v>
      </c>
      <c r="E197" s="19">
        <f>+'insumos ELECT'!E27</f>
        <v>243.6</v>
      </c>
      <c r="F197" s="20">
        <f t="shared" si="11"/>
        <v>12.18</v>
      </c>
      <c r="G197" s="115"/>
      <c r="H197" s="114"/>
      <c r="I197" s="15"/>
    </row>
    <row r="198" spans="1:9" s="14" customFormat="1" ht="18.600000000000001">
      <c r="A198" s="1"/>
      <c r="B198" s="52" t="s">
        <v>801</v>
      </c>
      <c r="C198" s="47">
        <v>4</v>
      </c>
      <c r="D198" s="54" t="s">
        <v>58</v>
      </c>
      <c r="E198" s="19">
        <f>+'insumos ELECT'!E109</f>
        <v>3.4799999999999995</v>
      </c>
      <c r="F198" s="20">
        <f t="shared" si="11"/>
        <v>13.919999999999998</v>
      </c>
      <c r="G198" s="115"/>
      <c r="H198" s="114"/>
      <c r="I198" s="15"/>
    </row>
    <row r="199" spans="1:9" s="14" customFormat="1" ht="18.600000000000001">
      <c r="A199" s="1"/>
      <c r="B199" s="52" t="s">
        <v>783</v>
      </c>
      <c r="C199" s="47">
        <v>8</v>
      </c>
      <c r="D199" s="54" t="s">
        <v>58</v>
      </c>
      <c r="E199" s="19">
        <f>+'insumos ELECT'!E84</f>
        <v>7.4239999999999995</v>
      </c>
      <c r="F199" s="20">
        <f t="shared" si="11"/>
        <v>59.391999999999996</v>
      </c>
      <c r="G199" s="115"/>
      <c r="H199" s="114"/>
      <c r="I199" s="15"/>
    </row>
    <row r="200" spans="1:9" s="14" customFormat="1" ht="18.600000000000001">
      <c r="A200" s="1"/>
      <c r="B200" s="52" t="s">
        <v>824</v>
      </c>
      <c r="C200" s="47">
        <v>1</v>
      </c>
      <c r="D200" s="54" t="s">
        <v>58</v>
      </c>
      <c r="E200" s="19">
        <f>+'insumos ELECT'!E61</f>
        <v>87</v>
      </c>
      <c r="F200" s="20">
        <f t="shared" si="11"/>
        <v>87</v>
      </c>
      <c r="G200" s="115"/>
      <c r="H200" s="114"/>
      <c r="I200" s="15"/>
    </row>
    <row r="201" spans="1:9" s="14" customFormat="1" ht="18.600000000000001">
      <c r="A201" s="1"/>
      <c r="B201" s="52" t="s">
        <v>133</v>
      </c>
      <c r="C201" s="47">
        <v>1</v>
      </c>
      <c r="D201" s="54" t="s">
        <v>55</v>
      </c>
      <c r="E201" s="19">
        <f>+'mano de obra ELECT'!D17</f>
        <v>500</v>
      </c>
      <c r="F201" s="20">
        <f t="shared" si="11"/>
        <v>500</v>
      </c>
      <c r="G201" s="115"/>
      <c r="H201" s="114"/>
      <c r="I201" s="15"/>
    </row>
    <row r="202" spans="1:9" s="1" customFormat="1" ht="19.2" thickBot="1">
      <c r="B202" s="42"/>
      <c r="C202" s="43"/>
      <c r="D202" s="44"/>
      <c r="E202" s="45" t="s">
        <v>817</v>
      </c>
      <c r="F202" s="46">
        <f>SUM(F191:F201)</f>
        <v>1306.838</v>
      </c>
    </row>
    <row r="203" spans="1:9" ht="16.8" thickTop="1" thickBot="1">
      <c r="A203" s="159"/>
      <c r="B203" s="167"/>
      <c r="C203" s="166"/>
      <c r="D203" s="166"/>
      <c r="E203" s="165"/>
      <c r="F203" s="162"/>
      <c r="G203" s="158"/>
      <c r="H203" s="158"/>
      <c r="I203" s="158"/>
    </row>
    <row r="204" spans="1:9" s="1" customFormat="1" ht="19.2" thickBot="1">
      <c r="A204" s="26"/>
      <c r="B204" s="36" t="s">
        <v>823</v>
      </c>
      <c r="C204" s="37"/>
      <c r="D204" s="37"/>
      <c r="E204" s="38"/>
      <c r="F204" s="39"/>
    </row>
    <row r="205" spans="1:9">
      <c r="A205" s="159"/>
      <c r="B205" s="156"/>
      <c r="C205" s="168"/>
      <c r="D205" s="168"/>
      <c r="E205" s="168"/>
      <c r="F205" s="168"/>
      <c r="G205" s="158"/>
      <c r="H205" s="158"/>
      <c r="I205" s="158"/>
    </row>
    <row r="206" spans="1:9" s="14" customFormat="1" ht="18.600000000000001">
      <c r="A206" s="1"/>
      <c r="B206" s="52" t="s">
        <v>772</v>
      </c>
      <c r="C206" s="47">
        <v>1</v>
      </c>
      <c r="D206" s="54" t="s">
        <v>58</v>
      </c>
      <c r="E206" s="19">
        <f>+'insumos ELECT'!E35</f>
        <v>33.64</v>
      </c>
      <c r="F206" s="20">
        <f t="shared" ref="F206:F216" si="12">C206*E206</f>
        <v>33.64</v>
      </c>
      <c r="G206" s="115"/>
      <c r="H206" s="114"/>
      <c r="I206" s="15"/>
    </row>
    <row r="207" spans="1:9" s="14" customFormat="1" ht="18.600000000000001">
      <c r="A207" s="1"/>
      <c r="B207" s="52" t="s">
        <v>805</v>
      </c>
      <c r="C207" s="47">
        <v>1.5</v>
      </c>
      <c r="D207" s="54" t="s">
        <v>58</v>
      </c>
      <c r="E207" s="19">
        <f>+'insumos ELECT'!E95</f>
        <v>149.63999999999999</v>
      </c>
      <c r="F207" s="20">
        <f t="shared" si="12"/>
        <v>224.45999999999998</v>
      </c>
      <c r="G207" s="115"/>
      <c r="H207" s="114"/>
      <c r="I207" s="15"/>
    </row>
    <row r="208" spans="1:9" s="14" customFormat="1" ht="18.600000000000001">
      <c r="A208" s="1"/>
      <c r="B208" s="52" t="s">
        <v>804</v>
      </c>
      <c r="C208" s="47">
        <v>2</v>
      </c>
      <c r="D208" s="54" t="s">
        <v>47</v>
      </c>
      <c r="E208" s="19">
        <f>+'insumos ELECT'!E96</f>
        <v>25.52</v>
      </c>
      <c r="F208" s="20">
        <f t="shared" si="12"/>
        <v>51.04</v>
      </c>
      <c r="G208" s="115"/>
      <c r="H208" s="114"/>
      <c r="I208" s="15"/>
    </row>
    <row r="209" spans="1:9" s="14" customFormat="1" ht="18.600000000000001">
      <c r="A209" s="1"/>
      <c r="B209" s="52" t="s">
        <v>773</v>
      </c>
      <c r="C209" s="47">
        <v>3</v>
      </c>
      <c r="D209" s="54" t="s">
        <v>58</v>
      </c>
      <c r="E209" s="19">
        <f>+'insumos ELECT'!E97</f>
        <v>10.44</v>
      </c>
      <c r="F209" s="20">
        <f t="shared" si="12"/>
        <v>31.32</v>
      </c>
      <c r="G209" s="115"/>
      <c r="H209" s="114"/>
      <c r="I209" s="15"/>
    </row>
    <row r="210" spans="1:9" s="14" customFormat="1" ht="18.600000000000001">
      <c r="A210" s="1"/>
      <c r="B210" s="52" t="s">
        <v>803</v>
      </c>
      <c r="C210" s="47">
        <v>2</v>
      </c>
      <c r="D210" s="54" t="s">
        <v>58</v>
      </c>
      <c r="E210" s="19">
        <f>+'insumos ELECT'!E98</f>
        <v>10.44</v>
      </c>
      <c r="F210" s="20">
        <f t="shared" si="12"/>
        <v>20.88</v>
      </c>
      <c r="G210" s="115"/>
      <c r="H210" s="114"/>
      <c r="I210" s="15"/>
    </row>
    <row r="211" spans="1:9" s="14" customFormat="1" ht="18.600000000000001">
      <c r="A211" s="1"/>
      <c r="B211" s="52" t="s">
        <v>802</v>
      </c>
      <c r="C211" s="47">
        <v>45</v>
      </c>
      <c r="D211" s="54" t="s">
        <v>47</v>
      </c>
      <c r="E211" s="19">
        <f>+'insumos ELECT'!E20</f>
        <v>6.0667999999999997</v>
      </c>
      <c r="F211" s="20">
        <f t="shared" si="12"/>
        <v>273.00599999999997</v>
      </c>
      <c r="G211" s="115"/>
      <c r="H211" s="114"/>
      <c r="I211" s="15"/>
    </row>
    <row r="212" spans="1:9" s="14" customFormat="1" ht="18.600000000000001">
      <c r="A212" s="1"/>
      <c r="B212" s="52" t="s">
        <v>795</v>
      </c>
      <c r="C212" s="47">
        <v>0.05</v>
      </c>
      <c r="D212" s="54" t="s">
        <v>794</v>
      </c>
      <c r="E212" s="19">
        <f>+'insumos ELECT'!E27</f>
        <v>243.6</v>
      </c>
      <c r="F212" s="20">
        <f t="shared" si="12"/>
        <v>12.18</v>
      </c>
      <c r="G212" s="115"/>
      <c r="H212" s="114"/>
      <c r="I212" s="15"/>
    </row>
    <row r="213" spans="1:9" s="14" customFormat="1" ht="18.600000000000001">
      <c r="A213" s="1"/>
      <c r="B213" s="52" t="s">
        <v>801</v>
      </c>
      <c r="C213" s="47">
        <v>4</v>
      </c>
      <c r="D213" s="54" t="s">
        <v>58</v>
      </c>
      <c r="E213" s="19">
        <f>+'insumos ELECT'!E109</f>
        <v>3.4799999999999995</v>
      </c>
      <c r="F213" s="20">
        <f t="shared" si="12"/>
        <v>13.919999999999998</v>
      </c>
      <c r="G213" s="115"/>
      <c r="H213" s="114"/>
      <c r="I213" s="15"/>
    </row>
    <row r="214" spans="1:9" s="14" customFormat="1" ht="18.600000000000001">
      <c r="A214" s="1"/>
      <c r="B214" s="52" t="s">
        <v>783</v>
      </c>
      <c r="C214" s="47">
        <v>8</v>
      </c>
      <c r="D214" s="54" t="s">
        <v>58</v>
      </c>
      <c r="E214" s="19">
        <f>+'insumos ELECT'!E84</f>
        <v>7.4239999999999995</v>
      </c>
      <c r="F214" s="20">
        <f t="shared" si="12"/>
        <v>59.391999999999996</v>
      </c>
      <c r="G214" s="115"/>
      <c r="H214" s="114"/>
      <c r="I214" s="15"/>
    </row>
    <row r="215" spans="1:9" s="14" customFormat="1" ht="18.600000000000001">
      <c r="A215" s="1"/>
      <c r="B215" s="52" t="s">
        <v>822</v>
      </c>
      <c r="C215" s="47">
        <v>1</v>
      </c>
      <c r="D215" s="54" t="s">
        <v>58</v>
      </c>
      <c r="E215" s="19">
        <f>+'insumos ELECT'!E71</f>
        <v>266.79999999999995</v>
      </c>
      <c r="F215" s="20">
        <f t="shared" si="12"/>
        <v>266.79999999999995</v>
      </c>
      <c r="G215" s="115"/>
      <c r="H215" s="114"/>
      <c r="I215" s="15"/>
    </row>
    <row r="216" spans="1:9" s="14" customFormat="1" ht="18.600000000000001">
      <c r="A216" s="1"/>
      <c r="B216" s="52" t="s">
        <v>133</v>
      </c>
      <c r="C216" s="47">
        <v>1</v>
      </c>
      <c r="D216" s="54" t="s">
        <v>55</v>
      </c>
      <c r="E216" s="19">
        <f>+'mano de obra ELECT'!D18</f>
        <v>500</v>
      </c>
      <c r="F216" s="20">
        <f t="shared" si="12"/>
        <v>500</v>
      </c>
      <c r="G216" s="115"/>
      <c r="H216" s="114"/>
      <c r="I216" s="15"/>
    </row>
    <row r="217" spans="1:9" s="1" customFormat="1" ht="19.2" thickBot="1">
      <c r="B217" s="42"/>
      <c r="C217" s="43"/>
      <c r="D217" s="44"/>
      <c r="E217" s="45" t="s">
        <v>817</v>
      </c>
      <c r="F217" s="46">
        <f>SUM(F206:F216)</f>
        <v>1486.6379999999999</v>
      </c>
    </row>
    <row r="218" spans="1:9" ht="16.8" thickTop="1" thickBot="1">
      <c r="A218" s="159"/>
      <c r="B218" s="167"/>
      <c r="C218" s="166"/>
      <c r="D218" s="166"/>
      <c r="E218" s="165"/>
      <c r="F218" s="162"/>
      <c r="G218" s="158"/>
      <c r="H218" s="158"/>
      <c r="I218" s="158"/>
    </row>
    <row r="219" spans="1:9" s="1" customFormat="1" ht="19.2" thickBot="1">
      <c r="A219" s="26"/>
      <c r="B219" s="36" t="s">
        <v>821</v>
      </c>
      <c r="C219" s="37"/>
      <c r="D219" s="37"/>
      <c r="E219" s="38"/>
      <c r="F219" s="39"/>
    </row>
    <row r="220" spans="1:9">
      <c r="A220" s="159"/>
      <c r="B220" s="156"/>
      <c r="C220" s="168"/>
      <c r="D220" s="168"/>
      <c r="E220" s="168"/>
      <c r="F220" s="168"/>
      <c r="G220" s="158"/>
      <c r="H220" s="158"/>
      <c r="I220" s="158"/>
    </row>
    <row r="221" spans="1:9" s="14" customFormat="1" ht="18.600000000000001">
      <c r="A221" s="1"/>
      <c r="B221" s="52" t="s">
        <v>772</v>
      </c>
      <c r="C221" s="47">
        <v>1</v>
      </c>
      <c r="D221" s="54" t="s">
        <v>58</v>
      </c>
      <c r="E221" s="19">
        <f>+'insumos ELECT'!E35</f>
        <v>33.64</v>
      </c>
      <c r="F221" s="20">
        <f t="shared" ref="F221:F231" si="13">C221*E221</f>
        <v>33.64</v>
      </c>
      <c r="G221" s="115"/>
      <c r="H221" s="114"/>
      <c r="I221" s="15"/>
    </row>
    <row r="222" spans="1:9" s="14" customFormat="1" ht="18.600000000000001">
      <c r="A222" s="1"/>
      <c r="B222" s="52" t="s">
        <v>805</v>
      </c>
      <c r="C222" s="47">
        <v>1.5</v>
      </c>
      <c r="D222" s="54" t="s">
        <v>58</v>
      </c>
      <c r="E222" s="19">
        <f>+'insumos ELECT'!E95</f>
        <v>149.63999999999999</v>
      </c>
      <c r="F222" s="20">
        <f t="shared" si="13"/>
        <v>224.45999999999998</v>
      </c>
      <c r="G222" s="115"/>
      <c r="H222" s="114"/>
      <c r="I222" s="15"/>
    </row>
    <row r="223" spans="1:9" s="14" customFormat="1" ht="18.600000000000001">
      <c r="A223" s="1"/>
      <c r="B223" s="52" t="s">
        <v>804</v>
      </c>
      <c r="C223" s="47">
        <v>2</v>
      </c>
      <c r="D223" s="54" t="s">
        <v>47</v>
      </c>
      <c r="E223" s="19">
        <f>+'insumos ELECT'!E96</f>
        <v>25.52</v>
      </c>
      <c r="F223" s="20">
        <f t="shared" si="13"/>
        <v>51.04</v>
      </c>
      <c r="G223" s="115"/>
      <c r="H223" s="114"/>
      <c r="I223" s="15"/>
    </row>
    <row r="224" spans="1:9" s="14" customFormat="1" ht="18.600000000000001">
      <c r="A224" s="1"/>
      <c r="B224" s="52" t="s">
        <v>773</v>
      </c>
      <c r="C224" s="47">
        <v>3</v>
      </c>
      <c r="D224" s="54" t="s">
        <v>58</v>
      </c>
      <c r="E224" s="19">
        <f>+'insumos ELECT'!E97</f>
        <v>10.44</v>
      </c>
      <c r="F224" s="20">
        <f t="shared" si="13"/>
        <v>31.32</v>
      </c>
      <c r="G224" s="115"/>
      <c r="H224" s="114"/>
      <c r="I224" s="15"/>
    </row>
    <row r="225" spans="1:9" s="14" customFormat="1" ht="18.600000000000001">
      <c r="A225" s="1"/>
      <c r="B225" s="52" t="s">
        <v>803</v>
      </c>
      <c r="C225" s="47">
        <v>2</v>
      </c>
      <c r="D225" s="54" t="s">
        <v>58</v>
      </c>
      <c r="E225" s="19">
        <f>+'insumos ELECT'!E98</f>
        <v>10.44</v>
      </c>
      <c r="F225" s="20">
        <f t="shared" si="13"/>
        <v>20.88</v>
      </c>
      <c r="G225" s="115"/>
      <c r="H225" s="114"/>
      <c r="I225" s="15"/>
    </row>
    <row r="226" spans="1:9" s="14" customFormat="1" ht="18.600000000000001">
      <c r="A226" s="1"/>
      <c r="B226" s="52" t="s">
        <v>802</v>
      </c>
      <c r="C226" s="47">
        <v>45</v>
      </c>
      <c r="D226" s="54" t="s">
        <v>47</v>
      </c>
      <c r="E226" s="19">
        <f>+'insumos ELECT'!E20</f>
        <v>6.0667999999999997</v>
      </c>
      <c r="F226" s="20">
        <f t="shared" si="13"/>
        <v>273.00599999999997</v>
      </c>
      <c r="G226" s="115"/>
      <c r="H226" s="114"/>
      <c r="I226" s="15"/>
    </row>
    <row r="227" spans="1:9" s="14" customFormat="1" ht="18.600000000000001">
      <c r="A227" s="1"/>
      <c r="B227" s="52" t="s">
        <v>795</v>
      </c>
      <c r="C227" s="47">
        <v>0.05</v>
      </c>
      <c r="D227" s="54" t="s">
        <v>794</v>
      </c>
      <c r="E227" s="19">
        <f>+'insumos ELECT'!E27</f>
        <v>243.6</v>
      </c>
      <c r="F227" s="20">
        <f t="shared" si="13"/>
        <v>12.18</v>
      </c>
      <c r="G227" s="115"/>
      <c r="H227" s="114"/>
      <c r="I227" s="15"/>
    </row>
    <row r="228" spans="1:9" s="14" customFormat="1" ht="18.600000000000001">
      <c r="A228" s="1"/>
      <c r="B228" s="52" t="s">
        <v>801</v>
      </c>
      <c r="C228" s="47">
        <v>4</v>
      </c>
      <c r="D228" s="54" t="s">
        <v>58</v>
      </c>
      <c r="E228" s="19">
        <f>+'insumos ELECT'!E109</f>
        <v>3.4799999999999995</v>
      </c>
      <c r="F228" s="20">
        <f t="shared" si="13"/>
        <v>13.919999999999998</v>
      </c>
      <c r="G228" s="115"/>
      <c r="H228" s="114"/>
      <c r="I228" s="15"/>
    </row>
    <row r="229" spans="1:9" s="14" customFormat="1" ht="18.600000000000001">
      <c r="A229" s="1"/>
      <c r="B229" s="52" t="s">
        <v>783</v>
      </c>
      <c r="C229" s="47">
        <v>8</v>
      </c>
      <c r="D229" s="54" t="s">
        <v>58</v>
      </c>
      <c r="E229" s="19">
        <f>+'insumos ELECT'!E84</f>
        <v>7.4239999999999995</v>
      </c>
      <c r="F229" s="20">
        <f t="shared" si="13"/>
        <v>59.391999999999996</v>
      </c>
      <c r="G229" s="115"/>
      <c r="H229" s="114"/>
      <c r="I229" s="15"/>
    </row>
    <row r="230" spans="1:9" s="14" customFormat="1" ht="18.600000000000001">
      <c r="A230" s="1"/>
      <c r="B230" s="52" t="s">
        <v>820</v>
      </c>
      <c r="C230" s="47">
        <v>1</v>
      </c>
      <c r="D230" s="54" t="s">
        <v>58</v>
      </c>
      <c r="E230" s="19">
        <f>+'insumos ELECT'!E51</f>
        <v>119.1088</v>
      </c>
      <c r="F230" s="20">
        <f t="shared" si="13"/>
        <v>119.1088</v>
      </c>
      <c r="G230" s="115"/>
      <c r="H230" s="114"/>
      <c r="I230" s="15"/>
    </row>
    <row r="231" spans="1:9" s="14" customFormat="1" ht="18.600000000000001">
      <c r="A231" s="1"/>
      <c r="B231" s="52" t="s">
        <v>133</v>
      </c>
      <c r="C231" s="47">
        <v>1</v>
      </c>
      <c r="D231" s="54" t="s">
        <v>55</v>
      </c>
      <c r="E231" s="19">
        <f>+'mano de obra ELECT'!D19</f>
        <v>500</v>
      </c>
      <c r="F231" s="20">
        <f t="shared" si="13"/>
        <v>500</v>
      </c>
      <c r="G231" s="115"/>
      <c r="H231" s="114"/>
      <c r="I231" s="15"/>
    </row>
    <row r="232" spans="1:9" s="1" customFormat="1" ht="19.2" thickBot="1">
      <c r="B232" s="42"/>
      <c r="C232" s="43"/>
      <c r="D232" s="44"/>
      <c r="E232" s="45" t="s">
        <v>817</v>
      </c>
      <c r="F232" s="46">
        <f>SUM(F221:F231)</f>
        <v>1338.9467999999999</v>
      </c>
    </row>
    <row r="233" spans="1:9" ht="16.8" thickTop="1" thickBot="1">
      <c r="A233" s="159"/>
      <c r="B233" s="167"/>
      <c r="C233" s="166"/>
      <c r="D233" s="166"/>
      <c r="E233" s="165"/>
      <c r="F233" s="162"/>
      <c r="G233" s="158"/>
      <c r="H233" s="158"/>
      <c r="I233" s="158"/>
    </row>
    <row r="234" spans="1:9" s="1" customFormat="1" ht="19.2" thickBot="1">
      <c r="A234" s="26"/>
      <c r="B234" s="36" t="s">
        <v>819</v>
      </c>
      <c r="C234" s="37"/>
      <c r="D234" s="37"/>
      <c r="E234" s="38"/>
      <c r="F234" s="39"/>
    </row>
    <row r="235" spans="1:9">
      <c r="A235" s="159"/>
      <c r="B235" s="156"/>
      <c r="C235" s="168"/>
      <c r="D235" s="168"/>
      <c r="E235" s="168"/>
      <c r="F235" s="168"/>
      <c r="G235" s="158"/>
      <c r="H235" s="158"/>
      <c r="I235" s="158"/>
    </row>
    <row r="236" spans="1:9" s="14" customFormat="1" ht="18.600000000000001">
      <c r="A236" s="1"/>
      <c r="B236" s="52" t="s">
        <v>772</v>
      </c>
      <c r="C236" s="47">
        <v>1</v>
      </c>
      <c r="D236" s="54" t="s">
        <v>58</v>
      </c>
      <c r="E236" s="19">
        <f>+'insumos ELECT'!E35</f>
        <v>33.64</v>
      </c>
      <c r="F236" s="20">
        <f t="shared" ref="F236:F246" si="14">C236*E236</f>
        <v>33.64</v>
      </c>
      <c r="G236" s="115"/>
      <c r="H236" s="114"/>
      <c r="I236" s="15"/>
    </row>
    <row r="237" spans="1:9" s="14" customFormat="1" ht="18.600000000000001">
      <c r="A237" s="1"/>
      <c r="B237" s="52" t="s">
        <v>805</v>
      </c>
      <c r="C237" s="47">
        <v>1.5</v>
      </c>
      <c r="D237" s="54" t="s">
        <v>58</v>
      </c>
      <c r="E237" s="19">
        <f>+'insumos ELECT'!E95</f>
        <v>149.63999999999999</v>
      </c>
      <c r="F237" s="20">
        <f t="shared" si="14"/>
        <v>224.45999999999998</v>
      </c>
      <c r="G237" s="115"/>
      <c r="H237" s="114"/>
      <c r="I237" s="15"/>
    </row>
    <row r="238" spans="1:9" s="14" customFormat="1" ht="18.600000000000001">
      <c r="A238" s="1"/>
      <c r="B238" s="52" t="s">
        <v>804</v>
      </c>
      <c r="C238" s="47">
        <v>2</v>
      </c>
      <c r="D238" s="54" t="s">
        <v>47</v>
      </c>
      <c r="E238" s="19">
        <f>+'insumos ELECT'!E96</f>
        <v>25.52</v>
      </c>
      <c r="F238" s="20">
        <f t="shared" si="14"/>
        <v>51.04</v>
      </c>
      <c r="G238" s="115"/>
      <c r="H238" s="114"/>
      <c r="I238" s="15"/>
    </row>
    <row r="239" spans="1:9" s="14" customFormat="1" ht="18.600000000000001">
      <c r="A239" s="1"/>
      <c r="B239" s="52" t="s">
        <v>773</v>
      </c>
      <c r="C239" s="47">
        <v>3</v>
      </c>
      <c r="D239" s="54" t="s">
        <v>58</v>
      </c>
      <c r="E239" s="19">
        <f>+'insumos ELECT'!E97</f>
        <v>10.44</v>
      </c>
      <c r="F239" s="20">
        <f t="shared" si="14"/>
        <v>31.32</v>
      </c>
      <c r="G239" s="115"/>
      <c r="H239" s="114"/>
      <c r="I239" s="15"/>
    </row>
    <row r="240" spans="1:9" s="14" customFormat="1" ht="18.600000000000001">
      <c r="A240" s="1"/>
      <c r="B240" s="52" t="s">
        <v>803</v>
      </c>
      <c r="C240" s="47">
        <v>2</v>
      </c>
      <c r="D240" s="54" t="s">
        <v>58</v>
      </c>
      <c r="E240" s="19">
        <f>+'insumos ELECT'!E98</f>
        <v>10.44</v>
      </c>
      <c r="F240" s="20">
        <f t="shared" si="14"/>
        <v>20.88</v>
      </c>
      <c r="G240" s="115"/>
      <c r="H240" s="114"/>
      <c r="I240" s="15"/>
    </row>
    <row r="241" spans="1:9" s="14" customFormat="1" ht="18.600000000000001">
      <c r="A241" s="1"/>
      <c r="B241" s="52" t="s">
        <v>802</v>
      </c>
      <c r="C241" s="47">
        <v>45</v>
      </c>
      <c r="D241" s="54" t="s">
        <v>47</v>
      </c>
      <c r="E241" s="19">
        <f>+'insumos ELECT'!E20</f>
        <v>6.0667999999999997</v>
      </c>
      <c r="F241" s="20">
        <f t="shared" si="14"/>
        <v>273.00599999999997</v>
      </c>
      <c r="G241" s="115"/>
      <c r="H241" s="114"/>
      <c r="I241" s="15"/>
    </row>
    <row r="242" spans="1:9" s="14" customFormat="1" ht="18.600000000000001">
      <c r="A242" s="1"/>
      <c r="B242" s="52" t="s">
        <v>795</v>
      </c>
      <c r="C242" s="47">
        <v>0.05</v>
      </c>
      <c r="D242" s="54" t="s">
        <v>794</v>
      </c>
      <c r="E242" s="19">
        <f>+'insumos ELECT'!E27</f>
        <v>243.6</v>
      </c>
      <c r="F242" s="20">
        <f t="shared" si="14"/>
        <v>12.18</v>
      </c>
      <c r="G242" s="115"/>
      <c r="H242" s="114"/>
      <c r="I242" s="15"/>
    </row>
    <row r="243" spans="1:9" s="14" customFormat="1" ht="18.600000000000001">
      <c r="A243" s="1"/>
      <c r="B243" s="52" t="s">
        <v>801</v>
      </c>
      <c r="C243" s="47">
        <v>4</v>
      </c>
      <c r="D243" s="54" t="s">
        <v>58</v>
      </c>
      <c r="E243" s="19">
        <f>+'insumos ELECT'!E109</f>
        <v>3.4799999999999995</v>
      </c>
      <c r="F243" s="20">
        <f t="shared" si="14"/>
        <v>13.919999999999998</v>
      </c>
      <c r="G243" s="115"/>
      <c r="H243" s="114"/>
      <c r="I243" s="15"/>
    </row>
    <row r="244" spans="1:9" s="14" customFormat="1" ht="18.600000000000001">
      <c r="A244" s="1"/>
      <c r="B244" s="52" t="s">
        <v>783</v>
      </c>
      <c r="C244" s="47">
        <v>10</v>
      </c>
      <c r="D244" s="54" t="s">
        <v>58</v>
      </c>
      <c r="E244" s="19">
        <f>+'insumos ELECT'!E84</f>
        <v>7.4239999999999995</v>
      </c>
      <c r="F244" s="20">
        <f t="shared" si="14"/>
        <v>74.239999999999995</v>
      </c>
      <c r="G244" s="115"/>
      <c r="H244" s="114"/>
      <c r="I244" s="15"/>
    </row>
    <row r="245" spans="1:9" s="14" customFormat="1" ht="18.600000000000001">
      <c r="A245" s="1"/>
      <c r="B245" s="52" t="s">
        <v>818</v>
      </c>
      <c r="C245" s="47">
        <v>1</v>
      </c>
      <c r="D245" s="54" t="s">
        <v>58</v>
      </c>
      <c r="E245" s="19">
        <f>+'insumos ELECT'!E50</f>
        <v>417.59999999999997</v>
      </c>
      <c r="F245" s="20">
        <f t="shared" si="14"/>
        <v>417.59999999999997</v>
      </c>
      <c r="G245" s="115"/>
      <c r="H245" s="114"/>
      <c r="I245" s="15"/>
    </row>
    <row r="246" spans="1:9" s="14" customFormat="1" ht="18.600000000000001">
      <c r="A246" s="1"/>
      <c r="B246" s="52" t="s">
        <v>133</v>
      </c>
      <c r="C246" s="47">
        <v>1</v>
      </c>
      <c r="D246" s="54" t="s">
        <v>55</v>
      </c>
      <c r="E246" s="19">
        <f>+'mano de obra ELECT'!D20</f>
        <v>600</v>
      </c>
      <c r="F246" s="20">
        <f t="shared" si="14"/>
        <v>600</v>
      </c>
      <c r="G246" s="115"/>
      <c r="H246" s="114"/>
      <c r="I246" s="15"/>
    </row>
    <row r="247" spans="1:9" s="1" customFormat="1" ht="19.2" thickBot="1">
      <c r="B247" s="42"/>
      <c r="C247" s="43"/>
      <c r="D247" s="44"/>
      <c r="E247" s="45" t="s">
        <v>817</v>
      </c>
      <c r="F247" s="46">
        <f>SUM(F236:F246)</f>
        <v>1752.2859999999998</v>
      </c>
    </row>
    <row r="248" spans="1:9" ht="16.8" thickTop="1" thickBot="1">
      <c r="A248" s="159"/>
      <c r="B248" s="167"/>
      <c r="C248" s="166"/>
      <c r="D248" s="166"/>
      <c r="E248" s="165"/>
      <c r="F248" s="162"/>
      <c r="G248" s="158"/>
      <c r="H248" s="158"/>
      <c r="I248" s="158"/>
    </row>
    <row r="249" spans="1:9" s="1" customFormat="1" ht="19.2" thickBot="1">
      <c r="A249" s="26"/>
      <c r="B249" s="36" t="s">
        <v>816</v>
      </c>
      <c r="C249" s="37"/>
      <c r="D249" s="37"/>
      <c r="E249" s="38"/>
      <c r="F249" s="39"/>
    </row>
    <row r="250" spans="1:9" s="14" customFormat="1" ht="18.600000000000001">
      <c r="A250" s="1"/>
      <c r="B250" s="52" t="s">
        <v>779</v>
      </c>
      <c r="C250" s="47" t="s">
        <v>59</v>
      </c>
      <c r="D250" s="54" t="s">
        <v>778</v>
      </c>
      <c r="E250" s="19" t="s">
        <v>320</v>
      </c>
      <c r="F250" s="20" t="s">
        <v>287</v>
      </c>
      <c r="G250" s="115"/>
      <c r="H250" s="114"/>
      <c r="I250" s="15"/>
    </row>
    <row r="251" spans="1:9" s="14" customFormat="1" ht="18.600000000000001">
      <c r="A251" s="1"/>
      <c r="B251" s="52" t="s">
        <v>772</v>
      </c>
      <c r="C251" s="47">
        <v>1</v>
      </c>
      <c r="D251" s="54" t="s">
        <v>58</v>
      </c>
      <c r="E251" s="19">
        <f>+'insumos ELECT'!E35</f>
        <v>33.64</v>
      </c>
      <c r="F251" s="20">
        <f t="shared" ref="F251:F261" si="15">C251*E251</f>
        <v>33.64</v>
      </c>
      <c r="G251" s="115"/>
      <c r="H251" s="114"/>
      <c r="I251" s="15"/>
    </row>
    <row r="252" spans="1:9" s="14" customFormat="1" ht="18.600000000000001">
      <c r="A252" s="1"/>
      <c r="B252" s="52" t="s">
        <v>805</v>
      </c>
      <c r="C252" s="47">
        <v>1.5</v>
      </c>
      <c r="D252" s="54" t="s">
        <v>58</v>
      </c>
      <c r="E252" s="19">
        <f>+'insumos ELECT'!E95</f>
        <v>149.63999999999999</v>
      </c>
      <c r="F252" s="20">
        <f t="shared" si="15"/>
        <v>224.45999999999998</v>
      </c>
      <c r="G252" s="115"/>
      <c r="H252" s="114"/>
      <c r="I252" s="15"/>
    </row>
    <row r="253" spans="1:9" s="14" customFormat="1" ht="18.600000000000001">
      <c r="A253" s="1"/>
      <c r="B253" s="52" t="s">
        <v>804</v>
      </c>
      <c r="C253" s="47">
        <v>2</v>
      </c>
      <c r="D253" s="54" t="s">
        <v>47</v>
      </c>
      <c r="E253" s="19">
        <f>+'insumos ELECT'!E96</f>
        <v>25.52</v>
      </c>
      <c r="F253" s="20">
        <f t="shared" si="15"/>
        <v>51.04</v>
      </c>
      <c r="G253" s="115"/>
      <c r="H253" s="114"/>
      <c r="I253" s="15"/>
    </row>
    <row r="254" spans="1:9" s="14" customFormat="1" ht="18.600000000000001">
      <c r="A254" s="1"/>
      <c r="B254" s="52" t="s">
        <v>773</v>
      </c>
      <c r="C254" s="47">
        <v>3</v>
      </c>
      <c r="D254" s="54" t="s">
        <v>58</v>
      </c>
      <c r="E254" s="19">
        <f>+'insumos ELECT'!E97</f>
        <v>10.44</v>
      </c>
      <c r="F254" s="20">
        <f t="shared" si="15"/>
        <v>31.32</v>
      </c>
      <c r="G254" s="115"/>
      <c r="H254" s="114"/>
      <c r="I254" s="15"/>
    </row>
    <row r="255" spans="1:9" s="14" customFormat="1" ht="18.600000000000001">
      <c r="A255" s="1"/>
      <c r="B255" s="52" t="s">
        <v>803</v>
      </c>
      <c r="C255" s="47">
        <v>2</v>
      </c>
      <c r="D255" s="54" t="s">
        <v>58</v>
      </c>
      <c r="E255" s="19">
        <f>+'insumos ELECT'!E98</f>
        <v>10.44</v>
      </c>
      <c r="F255" s="20">
        <f t="shared" si="15"/>
        <v>20.88</v>
      </c>
      <c r="G255" s="115"/>
      <c r="H255" s="114"/>
      <c r="I255" s="15"/>
    </row>
    <row r="256" spans="1:9" s="14" customFormat="1" ht="18.600000000000001">
      <c r="A256" s="1"/>
      <c r="B256" s="52" t="s">
        <v>802</v>
      </c>
      <c r="C256" s="47">
        <v>45</v>
      </c>
      <c r="D256" s="54" t="s">
        <v>47</v>
      </c>
      <c r="E256" s="19">
        <f>+'insumos ELECT'!E20</f>
        <v>6.0667999999999997</v>
      </c>
      <c r="F256" s="20">
        <f t="shared" si="15"/>
        <v>273.00599999999997</v>
      </c>
      <c r="G256" s="115"/>
      <c r="H256" s="114"/>
      <c r="I256" s="15"/>
    </row>
    <row r="257" spans="1:9" s="14" customFormat="1" ht="18.600000000000001">
      <c r="A257" s="1"/>
      <c r="B257" s="52" t="s">
        <v>795</v>
      </c>
      <c r="C257" s="47">
        <v>0.05</v>
      </c>
      <c r="D257" s="54" t="s">
        <v>794</v>
      </c>
      <c r="E257" s="19">
        <f>+'insumos ELECT'!E27</f>
        <v>243.6</v>
      </c>
      <c r="F257" s="20">
        <f t="shared" si="15"/>
        <v>12.18</v>
      </c>
      <c r="G257" s="115"/>
      <c r="H257" s="114"/>
      <c r="I257" s="15"/>
    </row>
    <row r="258" spans="1:9" s="14" customFormat="1" ht="18.600000000000001">
      <c r="A258" s="1"/>
      <c r="B258" s="52" t="s">
        <v>801</v>
      </c>
      <c r="C258" s="47">
        <v>4</v>
      </c>
      <c r="D258" s="54" t="s">
        <v>58</v>
      </c>
      <c r="E258" s="19">
        <f>+'insumos ELECT'!E109</f>
        <v>3.4799999999999995</v>
      </c>
      <c r="F258" s="20">
        <f t="shared" si="15"/>
        <v>13.919999999999998</v>
      </c>
      <c r="G258" s="115"/>
      <c r="H258" s="114"/>
      <c r="I258" s="15"/>
    </row>
    <row r="259" spans="1:9" s="14" customFormat="1" ht="18.600000000000001">
      <c r="A259" s="1"/>
      <c r="B259" s="52" t="s">
        <v>783</v>
      </c>
      <c r="C259" s="47">
        <v>8</v>
      </c>
      <c r="D259" s="54" t="s">
        <v>58</v>
      </c>
      <c r="E259" s="19">
        <f>+'insumos ELECT'!E84</f>
        <v>7.4239999999999995</v>
      </c>
      <c r="F259" s="20">
        <f t="shared" si="15"/>
        <v>59.391999999999996</v>
      </c>
      <c r="G259" s="115"/>
      <c r="H259" s="114"/>
      <c r="I259" s="15"/>
    </row>
    <row r="260" spans="1:9" s="14" customFormat="1" ht="18.600000000000001">
      <c r="A260" s="1"/>
      <c r="B260" s="52" t="s">
        <v>815</v>
      </c>
      <c r="C260" s="47">
        <v>1</v>
      </c>
      <c r="D260" s="54" t="s">
        <v>58</v>
      </c>
      <c r="E260" s="19">
        <f>+'insumos ELECT'!E65</f>
        <v>121.8</v>
      </c>
      <c r="F260" s="20">
        <f t="shared" si="15"/>
        <v>121.8</v>
      </c>
      <c r="G260" s="115"/>
      <c r="H260" s="114"/>
      <c r="I260" s="15"/>
    </row>
    <row r="261" spans="1:9" s="14" customFormat="1" ht="18.600000000000001">
      <c r="A261" s="1"/>
      <c r="B261" s="52" t="s">
        <v>133</v>
      </c>
      <c r="C261" s="47">
        <v>1</v>
      </c>
      <c r="D261" s="54" t="s">
        <v>55</v>
      </c>
      <c r="E261" s="19">
        <f>+'mano de obra ELECT'!D21</f>
        <v>525</v>
      </c>
      <c r="F261" s="20">
        <f t="shared" si="15"/>
        <v>525</v>
      </c>
      <c r="G261" s="115"/>
      <c r="H261" s="114"/>
      <c r="I261" s="15"/>
    </row>
    <row r="262" spans="1:9" s="1" customFormat="1" ht="19.2" thickBot="1">
      <c r="B262" s="42"/>
      <c r="C262" s="43"/>
      <c r="D262" s="44"/>
      <c r="E262" s="45" t="s">
        <v>775</v>
      </c>
      <c r="F262" s="46">
        <f>SUM(F251:F261)</f>
        <v>1366.6379999999999</v>
      </c>
    </row>
    <row r="263" spans="1:9" ht="16.8" thickTop="1" thickBot="1">
      <c r="A263" s="159"/>
      <c r="B263" s="167"/>
      <c r="C263" s="166"/>
      <c r="D263" s="166"/>
      <c r="E263" s="165"/>
      <c r="F263" s="164"/>
      <c r="G263" s="158"/>
      <c r="H263" s="158"/>
      <c r="I263" s="158"/>
    </row>
    <row r="264" spans="1:9" s="1" customFormat="1" ht="19.2" thickBot="1">
      <c r="A264" s="26"/>
      <c r="B264" s="36" t="s">
        <v>814</v>
      </c>
      <c r="C264" s="37"/>
      <c r="D264" s="37"/>
      <c r="E264" s="38"/>
      <c r="F264" s="39"/>
    </row>
    <row r="265" spans="1:9">
      <c r="A265" s="159"/>
      <c r="B265" s="156"/>
      <c r="C265" s="168"/>
      <c r="D265" s="168"/>
      <c r="E265" s="168"/>
      <c r="F265" s="168"/>
      <c r="G265" s="158"/>
      <c r="H265" s="158"/>
      <c r="I265" s="158"/>
    </row>
    <row r="266" spans="1:9" s="14" customFormat="1" ht="18.600000000000001">
      <c r="A266" s="1"/>
      <c r="B266" s="52" t="s">
        <v>772</v>
      </c>
      <c r="C266" s="47">
        <v>1</v>
      </c>
      <c r="D266" s="54" t="s">
        <v>58</v>
      </c>
      <c r="E266" s="19">
        <f>+'insumos ELECT'!E35</f>
        <v>33.64</v>
      </c>
      <c r="F266" s="20">
        <f t="shared" ref="F266:F276" si="16">C266*E266</f>
        <v>33.64</v>
      </c>
      <c r="G266" s="115"/>
      <c r="H266" s="114"/>
      <c r="I266" s="15"/>
    </row>
    <row r="267" spans="1:9" s="14" customFormat="1" ht="18.600000000000001">
      <c r="A267" s="1"/>
      <c r="B267" s="52" t="s">
        <v>805</v>
      </c>
      <c r="C267" s="47">
        <v>1.5</v>
      </c>
      <c r="D267" s="54" t="s">
        <v>58</v>
      </c>
      <c r="E267" s="19">
        <f>+'insumos ELECT'!E95</f>
        <v>149.63999999999999</v>
      </c>
      <c r="F267" s="20">
        <f t="shared" si="16"/>
        <v>224.45999999999998</v>
      </c>
      <c r="G267" s="115"/>
      <c r="H267" s="114"/>
      <c r="I267" s="15"/>
    </row>
    <row r="268" spans="1:9" s="14" customFormat="1" ht="18.600000000000001">
      <c r="A268" s="1"/>
      <c r="B268" s="52" t="s">
        <v>804</v>
      </c>
      <c r="C268" s="47">
        <v>2</v>
      </c>
      <c r="D268" s="54" t="s">
        <v>47</v>
      </c>
      <c r="E268" s="19">
        <f>+'insumos ELECT'!E96</f>
        <v>25.52</v>
      </c>
      <c r="F268" s="20">
        <f t="shared" si="16"/>
        <v>51.04</v>
      </c>
      <c r="G268" s="115"/>
      <c r="H268" s="114"/>
      <c r="I268" s="15"/>
    </row>
    <row r="269" spans="1:9" s="14" customFormat="1" ht="18.600000000000001">
      <c r="A269" s="1"/>
      <c r="B269" s="52" t="s">
        <v>773</v>
      </c>
      <c r="C269" s="47">
        <v>3</v>
      </c>
      <c r="D269" s="54" t="s">
        <v>58</v>
      </c>
      <c r="E269" s="19">
        <f>+'insumos ELECT'!E97</f>
        <v>10.44</v>
      </c>
      <c r="F269" s="20">
        <f t="shared" si="16"/>
        <v>31.32</v>
      </c>
      <c r="G269" s="115"/>
      <c r="H269" s="114"/>
      <c r="I269" s="15"/>
    </row>
    <row r="270" spans="1:9" s="14" customFormat="1" ht="18.600000000000001">
      <c r="A270" s="1"/>
      <c r="B270" s="52" t="s">
        <v>803</v>
      </c>
      <c r="C270" s="47">
        <v>2</v>
      </c>
      <c r="D270" s="54" t="s">
        <v>58</v>
      </c>
      <c r="E270" s="19">
        <f>+'insumos ELECT'!E98</f>
        <v>10.44</v>
      </c>
      <c r="F270" s="20">
        <f t="shared" si="16"/>
        <v>20.88</v>
      </c>
      <c r="G270" s="115"/>
      <c r="H270" s="114"/>
      <c r="I270" s="15"/>
    </row>
    <row r="271" spans="1:9" s="14" customFormat="1" ht="18.600000000000001">
      <c r="A271" s="1"/>
      <c r="B271" s="52" t="s">
        <v>802</v>
      </c>
      <c r="C271" s="47">
        <v>45</v>
      </c>
      <c r="D271" s="54" t="s">
        <v>47</v>
      </c>
      <c r="E271" s="19">
        <f>+'insumos ELECT'!E20</f>
        <v>6.0667999999999997</v>
      </c>
      <c r="F271" s="20">
        <f t="shared" si="16"/>
        <v>273.00599999999997</v>
      </c>
      <c r="G271" s="115"/>
      <c r="H271" s="114"/>
      <c r="I271" s="15"/>
    </row>
    <row r="272" spans="1:9" s="14" customFormat="1" ht="18.600000000000001">
      <c r="A272" s="1"/>
      <c r="B272" s="52" t="s">
        <v>795</v>
      </c>
      <c r="C272" s="47">
        <v>0.05</v>
      </c>
      <c r="D272" s="54" t="s">
        <v>794</v>
      </c>
      <c r="E272" s="19">
        <f>+'insumos ELECT'!E27</f>
        <v>243.6</v>
      </c>
      <c r="F272" s="20">
        <f t="shared" si="16"/>
        <v>12.18</v>
      </c>
      <c r="G272" s="115"/>
      <c r="H272" s="114"/>
      <c r="I272" s="15"/>
    </row>
    <row r="273" spans="1:9" s="14" customFormat="1" ht="18.600000000000001">
      <c r="A273" s="1"/>
      <c r="B273" s="52" t="s">
        <v>801</v>
      </c>
      <c r="C273" s="47">
        <v>4</v>
      </c>
      <c r="D273" s="54" t="s">
        <v>58</v>
      </c>
      <c r="E273" s="19">
        <f>+'insumos ELECT'!E109</f>
        <v>3.4799999999999995</v>
      </c>
      <c r="F273" s="20">
        <f t="shared" si="16"/>
        <v>13.919999999999998</v>
      </c>
      <c r="G273" s="115"/>
      <c r="H273" s="114"/>
      <c r="I273" s="15"/>
    </row>
    <row r="274" spans="1:9" s="14" customFormat="1" ht="18.600000000000001">
      <c r="A274" s="1"/>
      <c r="B274" s="52" t="s">
        <v>783</v>
      </c>
      <c r="C274" s="47">
        <v>8</v>
      </c>
      <c r="D274" s="54" t="s">
        <v>58</v>
      </c>
      <c r="E274" s="19">
        <f>+'insumos ELECT'!E84</f>
        <v>7.4239999999999995</v>
      </c>
      <c r="F274" s="20">
        <f t="shared" si="16"/>
        <v>59.391999999999996</v>
      </c>
      <c r="G274" s="115"/>
      <c r="H274" s="114"/>
      <c r="I274" s="15"/>
    </row>
    <row r="275" spans="1:9" s="14" customFormat="1" ht="18.600000000000001">
      <c r="A275" s="1"/>
      <c r="B275" s="52" t="s">
        <v>813</v>
      </c>
      <c r="C275" s="47">
        <v>1</v>
      </c>
      <c r="D275" s="54" t="s">
        <v>58</v>
      </c>
      <c r="E275" s="19">
        <f>+'insumos ELECT'!E66</f>
        <v>197.2</v>
      </c>
      <c r="F275" s="20">
        <f t="shared" si="16"/>
        <v>197.2</v>
      </c>
      <c r="G275" s="115"/>
      <c r="H275" s="114"/>
      <c r="I275" s="15"/>
    </row>
    <row r="276" spans="1:9" s="14" customFormat="1" ht="18.600000000000001">
      <c r="A276" s="1"/>
      <c r="B276" s="52" t="s">
        <v>133</v>
      </c>
      <c r="C276" s="47">
        <v>1</v>
      </c>
      <c r="D276" s="54" t="s">
        <v>55</v>
      </c>
      <c r="E276" s="19">
        <f>+'mano de obra ELECT'!D22</f>
        <v>575</v>
      </c>
      <c r="F276" s="20">
        <f t="shared" si="16"/>
        <v>575</v>
      </c>
      <c r="G276" s="115"/>
      <c r="H276" s="114"/>
      <c r="I276" s="15"/>
    </row>
    <row r="277" spans="1:9" s="1" customFormat="1" ht="19.2" thickBot="1">
      <c r="B277" s="42"/>
      <c r="C277" s="43"/>
      <c r="D277" s="44"/>
      <c r="E277" s="45" t="s">
        <v>775</v>
      </c>
      <c r="F277" s="46">
        <f>SUM(F266:F276)</f>
        <v>1492.038</v>
      </c>
    </row>
    <row r="278" spans="1:9" ht="16.8" thickTop="1" thickBot="1">
      <c r="A278" s="159"/>
      <c r="B278" s="167"/>
      <c r="C278" s="166"/>
      <c r="D278" s="166"/>
      <c r="E278" s="165"/>
      <c r="F278" s="164"/>
      <c r="G278" s="158"/>
      <c r="H278" s="158"/>
      <c r="I278" s="158"/>
    </row>
    <row r="279" spans="1:9" s="1" customFormat="1" ht="19.2" thickBot="1">
      <c r="A279" s="26"/>
      <c r="B279" s="36" t="s">
        <v>812</v>
      </c>
      <c r="C279" s="37"/>
      <c r="D279" s="37"/>
      <c r="E279" s="38"/>
      <c r="F279" s="39"/>
    </row>
    <row r="280" spans="1:9">
      <c r="A280" s="159"/>
      <c r="B280" s="156"/>
      <c r="C280" s="168"/>
      <c r="D280" s="168"/>
      <c r="E280" s="168"/>
      <c r="F280" s="168"/>
      <c r="G280" s="158"/>
      <c r="H280" s="158"/>
      <c r="I280" s="158"/>
    </row>
    <row r="281" spans="1:9" s="14" customFormat="1" ht="18.600000000000001">
      <c r="A281" s="1"/>
      <c r="B281" s="52" t="s">
        <v>772</v>
      </c>
      <c r="C281" s="47">
        <v>1</v>
      </c>
      <c r="D281" s="54" t="s">
        <v>58</v>
      </c>
      <c r="E281" s="19">
        <f>+'insumos ELECT'!E35</f>
        <v>33.64</v>
      </c>
      <c r="F281" s="20">
        <f t="shared" ref="F281:F291" si="17">C281*E281</f>
        <v>33.64</v>
      </c>
      <c r="G281" s="115"/>
      <c r="H281" s="114"/>
      <c r="I281" s="15"/>
    </row>
    <row r="282" spans="1:9" s="14" customFormat="1" ht="18.600000000000001">
      <c r="A282" s="1"/>
      <c r="B282" s="52" t="s">
        <v>805</v>
      </c>
      <c r="C282" s="47">
        <v>1.5</v>
      </c>
      <c r="D282" s="54" t="s">
        <v>58</v>
      </c>
      <c r="E282" s="19">
        <f>+'insumos ELECT'!E95</f>
        <v>149.63999999999999</v>
      </c>
      <c r="F282" s="20">
        <f t="shared" si="17"/>
        <v>224.45999999999998</v>
      </c>
      <c r="G282" s="115"/>
      <c r="H282" s="114"/>
      <c r="I282" s="15"/>
    </row>
    <row r="283" spans="1:9" s="14" customFormat="1" ht="18.600000000000001">
      <c r="A283" s="1"/>
      <c r="B283" s="52" t="s">
        <v>804</v>
      </c>
      <c r="C283" s="47">
        <v>2</v>
      </c>
      <c r="D283" s="54" t="s">
        <v>47</v>
      </c>
      <c r="E283" s="19">
        <f>+'insumos ELECT'!E96</f>
        <v>25.52</v>
      </c>
      <c r="F283" s="20">
        <f t="shared" si="17"/>
        <v>51.04</v>
      </c>
      <c r="G283" s="115"/>
      <c r="H283" s="114"/>
      <c r="I283" s="15"/>
    </row>
    <row r="284" spans="1:9" s="14" customFormat="1" ht="18.600000000000001">
      <c r="A284" s="1"/>
      <c r="B284" s="52" t="s">
        <v>773</v>
      </c>
      <c r="C284" s="47">
        <v>3</v>
      </c>
      <c r="D284" s="54" t="s">
        <v>58</v>
      </c>
      <c r="E284" s="19">
        <f>+'insumos ELECT'!E97</f>
        <v>10.44</v>
      </c>
      <c r="F284" s="20">
        <f t="shared" si="17"/>
        <v>31.32</v>
      </c>
      <c r="G284" s="115"/>
      <c r="H284" s="114"/>
      <c r="I284" s="15"/>
    </row>
    <row r="285" spans="1:9" s="14" customFormat="1" ht="18.600000000000001">
      <c r="A285" s="1"/>
      <c r="B285" s="52" t="s">
        <v>803</v>
      </c>
      <c r="C285" s="47">
        <v>2</v>
      </c>
      <c r="D285" s="54" t="s">
        <v>58</v>
      </c>
      <c r="E285" s="19">
        <f>+'insumos ELECT'!E98</f>
        <v>10.44</v>
      </c>
      <c r="F285" s="20">
        <f t="shared" si="17"/>
        <v>20.88</v>
      </c>
      <c r="G285" s="115"/>
      <c r="H285" s="114"/>
      <c r="I285" s="15"/>
    </row>
    <row r="286" spans="1:9" s="14" customFormat="1" ht="18.600000000000001">
      <c r="A286" s="1"/>
      <c r="B286" s="52" t="s">
        <v>802</v>
      </c>
      <c r="C286" s="47">
        <v>45</v>
      </c>
      <c r="D286" s="54" t="s">
        <v>47</v>
      </c>
      <c r="E286" s="19">
        <f>+'insumos ELECT'!E20</f>
        <v>6.0667999999999997</v>
      </c>
      <c r="F286" s="20">
        <f t="shared" si="17"/>
        <v>273.00599999999997</v>
      </c>
      <c r="G286" s="115"/>
      <c r="H286" s="114"/>
      <c r="I286" s="15"/>
    </row>
    <row r="287" spans="1:9" s="14" customFormat="1" ht="18.600000000000001">
      <c r="A287" s="1"/>
      <c r="B287" s="52" t="s">
        <v>795</v>
      </c>
      <c r="C287" s="47">
        <v>0.05</v>
      </c>
      <c r="D287" s="54" t="s">
        <v>794</v>
      </c>
      <c r="E287" s="19">
        <f>+'insumos ELECT'!E27</f>
        <v>243.6</v>
      </c>
      <c r="F287" s="20">
        <f t="shared" si="17"/>
        <v>12.18</v>
      </c>
      <c r="G287" s="115"/>
      <c r="H287" s="114"/>
      <c r="I287" s="15"/>
    </row>
    <row r="288" spans="1:9" s="14" customFormat="1" ht="18.600000000000001">
      <c r="A288" s="1"/>
      <c r="B288" s="52" t="s">
        <v>801</v>
      </c>
      <c r="C288" s="47">
        <v>4</v>
      </c>
      <c r="D288" s="54" t="s">
        <v>58</v>
      </c>
      <c r="E288" s="19">
        <f>+'insumos ELECT'!E109</f>
        <v>3.4799999999999995</v>
      </c>
      <c r="F288" s="20">
        <f t="shared" si="17"/>
        <v>13.919999999999998</v>
      </c>
      <c r="G288" s="115"/>
      <c r="H288" s="114"/>
      <c r="I288" s="15"/>
    </row>
    <row r="289" spans="1:9" s="14" customFormat="1" ht="18.600000000000001">
      <c r="A289" s="1"/>
      <c r="B289" s="52" t="s">
        <v>783</v>
      </c>
      <c r="C289" s="47">
        <v>8</v>
      </c>
      <c r="D289" s="54" t="s">
        <v>58</v>
      </c>
      <c r="E289" s="19">
        <f>+'insumos ELECT'!E84</f>
        <v>7.4239999999999995</v>
      </c>
      <c r="F289" s="20">
        <f t="shared" si="17"/>
        <v>59.391999999999996</v>
      </c>
      <c r="G289" s="115"/>
      <c r="H289" s="114"/>
      <c r="I289" s="15"/>
    </row>
    <row r="290" spans="1:9" s="14" customFormat="1" ht="18.600000000000001">
      <c r="A290" s="1"/>
      <c r="B290" s="52" t="s">
        <v>811</v>
      </c>
      <c r="C290" s="47">
        <v>1</v>
      </c>
      <c r="D290" s="54" t="s">
        <v>58</v>
      </c>
      <c r="E290" s="19">
        <f>+'insumos ELECT'!E68</f>
        <v>127.6</v>
      </c>
      <c r="F290" s="20">
        <f t="shared" si="17"/>
        <v>127.6</v>
      </c>
      <c r="G290" s="115"/>
      <c r="H290" s="114"/>
      <c r="I290" s="15"/>
    </row>
    <row r="291" spans="1:9" s="14" customFormat="1" ht="18.600000000000001">
      <c r="A291" s="1"/>
      <c r="B291" s="52" t="s">
        <v>133</v>
      </c>
      <c r="C291" s="47">
        <v>1</v>
      </c>
      <c r="D291" s="54" t="s">
        <v>55</v>
      </c>
      <c r="E291" s="19">
        <f>+'mano de obra ELECT'!D23</f>
        <v>600</v>
      </c>
      <c r="F291" s="20">
        <f t="shared" si="17"/>
        <v>600</v>
      </c>
      <c r="G291" s="115"/>
      <c r="H291" s="114"/>
      <c r="I291" s="15"/>
    </row>
    <row r="292" spans="1:9" s="1" customFormat="1" ht="19.2" thickBot="1">
      <c r="B292" s="42"/>
      <c r="C292" s="43"/>
      <c r="D292" s="44"/>
      <c r="E292" s="45" t="s">
        <v>775</v>
      </c>
      <c r="F292" s="46">
        <f>SUM(F281:F291)</f>
        <v>1447.4380000000001</v>
      </c>
    </row>
    <row r="293" spans="1:9" ht="16.8" thickTop="1" thickBot="1">
      <c r="A293" s="159"/>
      <c r="B293" s="167"/>
      <c r="C293" s="166"/>
      <c r="D293" s="166"/>
      <c r="E293" s="165"/>
      <c r="F293" s="164"/>
      <c r="G293" s="158"/>
      <c r="H293" s="158"/>
      <c r="I293" s="158"/>
    </row>
    <row r="294" spans="1:9" s="1" customFormat="1" ht="19.2" thickBot="1">
      <c r="A294" s="26"/>
      <c r="B294" s="36" t="s">
        <v>810</v>
      </c>
      <c r="C294" s="37"/>
      <c r="D294" s="37"/>
      <c r="E294" s="38"/>
      <c r="F294" s="39"/>
    </row>
    <row r="295" spans="1:9">
      <c r="A295" s="159"/>
      <c r="B295" s="156"/>
      <c r="C295" s="168"/>
      <c r="D295" s="168"/>
      <c r="E295" s="168"/>
      <c r="F295" s="168"/>
      <c r="G295" s="158"/>
      <c r="H295" s="158"/>
      <c r="I295" s="158"/>
    </row>
    <row r="296" spans="1:9" s="14" customFormat="1" ht="18.600000000000001">
      <c r="A296" s="1"/>
      <c r="B296" s="52" t="s">
        <v>772</v>
      </c>
      <c r="C296" s="47">
        <v>1</v>
      </c>
      <c r="D296" s="54" t="s">
        <v>58</v>
      </c>
      <c r="E296" s="19">
        <f>+'insumos ELECT'!E35</f>
        <v>33.64</v>
      </c>
      <c r="F296" s="20">
        <f t="shared" ref="F296:F306" si="18">C296*E296</f>
        <v>33.64</v>
      </c>
      <c r="G296" s="115"/>
      <c r="H296" s="114"/>
      <c r="I296" s="15"/>
    </row>
    <row r="297" spans="1:9" s="14" customFormat="1" ht="18.600000000000001">
      <c r="A297" s="1"/>
      <c r="B297" s="52" t="s">
        <v>805</v>
      </c>
      <c r="C297" s="47">
        <v>1.5</v>
      </c>
      <c r="D297" s="54" t="s">
        <v>58</v>
      </c>
      <c r="E297" s="19">
        <f>+'insumos ELECT'!E95</f>
        <v>149.63999999999999</v>
      </c>
      <c r="F297" s="20">
        <f t="shared" si="18"/>
        <v>224.45999999999998</v>
      </c>
      <c r="G297" s="115"/>
      <c r="H297" s="114"/>
      <c r="I297" s="15"/>
    </row>
    <row r="298" spans="1:9" s="14" customFormat="1" ht="18.600000000000001">
      <c r="A298" s="1"/>
      <c r="B298" s="52" t="s">
        <v>804</v>
      </c>
      <c r="C298" s="47">
        <v>2</v>
      </c>
      <c r="D298" s="54" t="s">
        <v>47</v>
      </c>
      <c r="E298" s="19">
        <f>+'insumos ELECT'!E96</f>
        <v>25.52</v>
      </c>
      <c r="F298" s="20">
        <f t="shared" si="18"/>
        <v>51.04</v>
      </c>
      <c r="G298" s="115"/>
      <c r="H298" s="114"/>
      <c r="I298" s="15"/>
    </row>
    <row r="299" spans="1:9" s="14" customFormat="1" ht="18.600000000000001">
      <c r="A299" s="1"/>
      <c r="B299" s="52" t="s">
        <v>773</v>
      </c>
      <c r="C299" s="47">
        <v>3</v>
      </c>
      <c r="D299" s="54" t="s">
        <v>58</v>
      </c>
      <c r="E299" s="19">
        <f>+'insumos ELECT'!E97</f>
        <v>10.44</v>
      </c>
      <c r="F299" s="20">
        <f t="shared" si="18"/>
        <v>31.32</v>
      </c>
      <c r="G299" s="115"/>
      <c r="H299" s="114"/>
      <c r="I299" s="15"/>
    </row>
    <row r="300" spans="1:9" s="14" customFormat="1" ht="18.600000000000001">
      <c r="A300" s="1"/>
      <c r="B300" s="52" t="s">
        <v>803</v>
      </c>
      <c r="C300" s="47">
        <v>2</v>
      </c>
      <c r="D300" s="54" t="s">
        <v>58</v>
      </c>
      <c r="E300" s="19">
        <f>+'insumos ELECT'!E98</f>
        <v>10.44</v>
      </c>
      <c r="F300" s="20">
        <f t="shared" si="18"/>
        <v>20.88</v>
      </c>
      <c r="G300" s="115"/>
      <c r="H300" s="114"/>
      <c r="I300" s="15"/>
    </row>
    <row r="301" spans="1:9" s="14" customFormat="1" ht="18.600000000000001">
      <c r="A301" s="1"/>
      <c r="B301" s="52" t="s">
        <v>802</v>
      </c>
      <c r="C301" s="47">
        <v>45</v>
      </c>
      <c r="D301" s="54" t="s">
        <v>47</v>
      </c>
      <c r="E301" s="19">
        <f>+'insumos ELECT'!E20</f>
        <v>6.0667999999999997</v>
      </c>
      <c r="F301" s="20">
        <f t="shared" si="18"/>
        <v>273.00599999999997</v>
      </c>
      <c r="G301" s="115"/>
      <c r="H301" s="114"/>
      <c r="I301" s="15"/>
    </row>
    <row r="302" spans="1:9" s="14" customFormat="1" ht="18.600000000000001">
      <c r="A302" s="1"/>
      <c r="B302" s="52" t="s">
        <v>795</v>
      </c>
      <c r="C302" s="47">
        <v>0.05</v>
      </c>
      <c r="D302" s="54" t="s">
        <v>794</v>
      </c>
      <c r="E302" s="19">
        <f>+'insumos ELECT'!E27</f>
        <v>243.6</v>
      </c>
      <c r="F302" s="20">
        <f t="shared" si="18"/>
        <v>12.18</v>
      </c>
      <c r="G302" s="115"/>
      <c r="H302" s="114"/>
      <c r="I302" s="15"/>
    </row>
    <row r="303" spans="1:9" s="14" customFormat="1" ht="18.600000000000001">
      <c r="A303" s="1"/>
      <c r="B303" s="52" t="s">
        <v>801</v>
      </c>
      <c r="C303" s="47">
        <v>4</v>
      </c>
      <c r="D303" s="54" t="s">
        <v>58</v>
      </c>
      <c r="E303" s="19">
        <f>+'insumos ELECT'!E109</f>
        <v>3.4799999999999995</v>
      </c>
      <c r="F303" s="20">
        <f t="shared" si="18"/>
        <v>13.919999999999998</v>
      </c>
      <c r="G303" s="115"/>
      <c r="H303" s="114"/>
      <c r="I303" s="15"/>
    </row>
    <row r="304" spans="1:9" s="14" customFormat="1" ht="18.600000000000001">
      <c r="A304" s="1"/>
      <c r="B304" s="52" t="s">
        <v>783</v>
      </c>
      <c r="C304" s="47">
        <v>8</v>
      </c>
      <c r="D304" s="54" t="s">
        <v>58</v>
      </c>
      <c r="E304" s="19">
        <f>+'insumos ELECT'!E84</f>
        <v>7.4239999999999995</v>
      </c>
      <c r="F304" s="20">
        <f t="shared" si="18"/>
        <v>59.391999999999996</v>
      </c>
      <c r="G304" s="115"/>
      <c r="H304" s="114"/>
      <c r="I304" s="15"/>
    </row>
    <row r="305" spans="1:9" s="14" customFormat="1" ht="18.600000000000001">
      <c r="A305" s="1"/>
      <c r="B305" s="52" t="s">
        <v>799</v>
      </c>
      <c r="C305" s="47">
        <v>1</v>
      </c>
      <c r="D305" s="54" t="s">
        <v>58</v>
      </c>
      <c r="E305" s="19">
        <f>+'insumos ELECT'!E75</f>
        <v>102.08</v>
      </c>
      <c r="F305" s="20">
        <f t="shared" si="18"/>
        <v>102.08</v>
      </c>
      <c r="G305" s="115"/>
      <c r="H305" s="114"/>
      <c r="I305" s="15"/>
    </row>
    <row r="306" spans="1:9" s="14" customFormat="1" ht="18.600000000000001">
      <c r="A306" s="1"/>
      <c r="B306" s="52" t="s">
        <v>133</v>
      </c>
      <c r="C306" s="47">
        <v>1</v>
      </c>
      <c r="D306" s="54" t="s">
        <v>55</v>
      </c>
      <c r="E306" s="19">
        <f>+'mano de obra ELECT'!D24</f>
        <v>500</v>
      </c>
      <c r="F306" s="20">
        <f t="shared" si="18"/>
        <v>500</v>
      </c>
      <c r="G306" s="115"/>
      <c r="H306" s="114"/>
      <c r="I306" s="15"/>
    </row>
    <row r="307" spans="1:9" s="1" customFormat="1" ht="19.2" thickBot="1">
      <c r="B307" s="42"/>
      <c r="C307" s="43"/>
      <c r="D307" s="44"/>
      <c r="E307" s="45" t="s">
        <v>775</v>
      </c>
      <c r="F307" s="46">
        <f>SUM(F296:F306)</f>
        <v>1321.9180000000001</v>
      </c>
    </row>
    <row r="308" spans="1:9" ht="16.8" thickTop="1" thickBot="1">
      <c r="A308" s="159"/>
      <c r="B308" s="167"/>
      <c r="C308" s="166"/>
      <c r="D308" s="166"/>
      <c r="E308" s="165"/>
      <c r="F308" s="164"/>
      <c r="G308" s="158"/>
      <c r="H308" s="158"/>
      <c r="I308" s="158"/>
    </row>
    <row r="309" spans="1:9" s="1" customFormat="1" ht="19.2" thickBot="1">
      <c r="A309" s="26"/>
      <c r="B309" s="36" t="s">
        <v>809</v>
      </c>
      <c r="C309" s="37"/>
      <c r="D309" s="37"/>
      <c r="E309" s="38"/>
      <c r="F309" s="39"/>
    </row>
    <row r="310" spans="1:9">
      <c r="A310" s="159"/>
      <c r="B310" s="156"/>
      <c r="C310" s="168"/>
      <c r="D310" s="168"/>
      <c r="E310" s="168"/>
      <c r="F310" s="168"/>
      <c r="G310" s="158"/>
      <c r="H310" s="158"/>
      <c r="I310" s="158"/>
    </row>
    <row r="311" spans="1:9" s="14" customFormat="1" ht="18.600000000000001">
      <c r="A311" s="1"/>
      <c r="B311" s="52" t="s">
        <v>772</v>
      </c>
      <c r="C311" s="47">
        <v>1</v>
      </c>
      <c r="D311" s="54" t="s">
        <v>58</v>
      </c>
      <c r="E311" s="19">
        <f>+'insumos ELECT'!E35</f>
        <v>33.64</v>
      </c>
      <c r="F311" s="20">
        <f t="shared" ref="F311:F322" si="19">C311*E311</f>
        <v>33.64</v>
      </c>
      <c r="G311" s="115"/>
      <c r="H311" s="114"/>
      <c r="I311" s="15"/>
    </row>
    <row r="312" spans="1:9" s="14" customFormat="1" ht="18.600000000000001">
      <c r="A312" s="1"/>
      <c r="B312" s="52" t="s">
        <v>805</v>
      </c>
      <c r="C312" s="47">
        <v>1.5</v>
      </c>
      <c r="D312" s="54" t="s">
        <v>58</v>
      </c>
      <c r="E312" s="19">
        <f>+'insumos ELECT'!E95</f>
        <v>149.63999999999999</v>
      </c>
      <c r="F312" s="20">
        <f t="shared" si="19"/>
        <v>224.45999999999998</v>
      </c>
      <c r="G312" s="115"/>
      <c r="H312" s="114"/>
      <c r="I312" s="15"/>
    </row>
    <row r="313" spans="1:9" s="14" customFormat="1" ht="18.600000000000001">
      <c r="A313" s="1"/>
      <c r="B313" s="52" t="s">
        <v>804</v>
      </c>
      <c r="C313" s="47">
        <v>2</v>
      </c>
      <c r="D313" s="54" t="s">
        <v>47</v>
      </c>
      <c r="E313" s="19">
        <f>+'insumos ELECT'!E96</f>
        <v>25.52</v>
      </c>
      <c r="F313" s="20">
        <f t="shared" si="19"/>
        <v>51.04</v>
      </c>
      <c r="G313" s="115"/>
      <c r="H313" s="114"/>
      <c r="I313" s="15"/>
    </row>
    <row r="314" spans="1:9" s="14" customFormat="1" ht="18.600000000000001">
      <c r="A314" s="1"/>
      <c r="B314" s="52" t="s">
        <v>773</v>
      </c>
      <c r="C314" s="47">
        <v>3</v>
      </c>
      <c r="D314" s="54" t="s">
        <v>58</v>
      </c>
      <c r="E314" s="19">
        <f>+'insumos ELECT'!E97</f>
        <v>10.44</v>
      </c>
      <c r="F314" s="20">
        <f t="shared" si="19"/>
        <v>31.32</v>
      </c>
      <c r="G314" s="115"/>
      <c r="H314" s="114"/>
      <c r="I314" s="15"/>
    </row>
    <row r="315" spans="1:9" s="14" customFormat="1" ht="18.600000000000001">
      <c r="A315" s="1"/>
      <c r="B315" s="52" t="s">
        <v>803</v>
      </c>
      <c r="C315" s="47">
        <v>2</v>
      </c>
      <c r="D315" s="54" t="s">
        <v>58</v>
      </c>
      <c r="E315" s="19">
        <f>+'insumos ELECT'!E98</f>
        <v>10.44</v>
      </c>
      <c r="F315" s="20">
        <f t="shared" si="19"/>
        <v>20.88</v>
      </c>
      <c r="G315" s="115"/>
      <c r="H315" s="114"/>
      <c r="I315" s="15"/>
    </row>
    <row r="316" spans="1:9" s="14" customFormat="1" ht="18.600000000000001">
      <c r="A316" s="1"/>
      <c r="B316" s="52" t="s">
        <v>802</v>
      </c>
      <c r="C316" s="47">
        <v>45</v>
      </c>
      <c r="D316" s="54" t="s">
        <v>47</v>
      </c>
      <c r="E316" s="19">
        <f>+'insumos ELECT'!E20</f>
        <v>6.0667999999999997</v>
      </c>
      <c r="F316" s="20">
        <f t="shared" si="19"/>
        <v>273.00599999999997</v>
      </c>
      <c r="G316" s="115"/>
      <c r="H316" s="114"/>
      <c r="I316" s="15"/>
    </row>
    <row r="317" spans="1:9" s="14" customFormat="1" ht="18.600000000000001">
      <c r="A317" s="1"/>
      <c r="B317" s="52" t="s">
        <v>795</v>
      </c>
      <c r="C317" s="47">
        <v>0.05</v>
      </c>
      <c r="D317" s="54" t="s">
        <v>794</v>
      </c>
      <c r="E317" s="19">
        <f>+'insumos ELECT'!E27</f>
        <v>243.6</v>
      </c>
      <c r="F317" s="20">
        <f t="shared" si="19"/>
        <v>12.18</v>
      </c>
      <c r="G317" s="115"/>
      <c r="H317" s="114"/>
      <c r="I317" s="15"/>
    </row>
    <row r="318" spans="1:9" s="14" customFormat="1" ht="18.600000000000001">
      <c r="A318" s="1"/>
      <c r="B318" s="52" t="s">
        <v>801</v>
      </c>
      <c r="C318" s="47">
        <v>4</v>
      </c>
      <c r="D318" s="54" t="s">
        <v>58</v>
      </c>
      <c r="E318" s="19">
        <f>+'insumos ELECT'!E109</f>
        <v>3.4799999999999995</v>
      </c>
      <c r="F318" s="20">
        <f t="shared" si="19"/>
        <v>13.919999999999998</v>
      </c>
      <c r="G318" s="115"/>
      <c r="H318" s="114"/>
      <c r="I318" s="15"/>
    </row>
    <row r="319" spans="1:9" s="14" customFormat="1" ht="18.600000000000001">
      <c r="A319" s="1"/>
      <c r="B319" s="52" t="s">
        <v>783</v>
      </c>
      <c r="C319" s="47">
        <v>8</v>
      </c>
      <c r="D319" s="54" t="s">
        <v>58</v>
      </c>
      <c r="E319" s="19">
        <f>+'insumos ELECT'!E84</f>
        <v>7.4239999999999995</v>
      </c>
      <c r="F319" s="20">
        <f t="shared" si="19"/>
        <v>59.391999999999996</v>
      </c>
      <c r="G319" s="115"/>
      <c r="H319" s="114"/>
      <c r="I319" s="15"/>
    </row>
    <row r="320" spans="1:9" s="14" customFormat="1" ht="18.600000000000001">
      <c r="A320" s="1"/>
      <c r="B320" s="52" t="s">
        <v>808</v>
      </c>
      <c r="C320" s="47">
        <v>1</v>
      </c>
      <c r="D320" s="54" t="s">
        <v>58</v>
      </c>
      <c r="E320" s="19">
        <f>+'insumos ELECT'!E72</f>
        <v>28.999999999999996</v>
      </c>
      <c r="F320" s="20">
        <f t="shared" si="19"/>
        <v>28.999999999999996</v>
      </c>
      <c r="G320" s="115"/>
      <c r="H320" s="114"/>
      <c r="I320" s="15"/>
    </row>
    <row r="321" spans="1:9" s="14" customFormat="1" ht="18.600000000000001">
      <c r="A321" s="1"/>
      <c r="B321" s="52" t="s">
        <v>807</v>
      </c>
      <c r="C321" s="47">
        <v>1</v>
      </c>
      <c r="D321" s="54" t="s">
        <v>58</v>
      </c>
      <c r="E321" s="19">
        <f>+'insumos ELECT'!E74</f>
        <v>17.399999999999999</v>
      </c>
      <c r="F321" s="20">
        <f t="shared" si="19"/>
        <v>17.399999999999999</v>
      </c>
      <c r="G321" s="115"/>
      <c r="H321" s="114"/>
      <c r="I321" s="15"/>
    </row>
    <row r="322" spans="1:9" s="14" customFormat="1" ht="18.600000000000001">
      <c r="A322" s="1"/>
      <c r="B322" s="52" t="s">
        <v>133</v>
      </c>
      <c r="C322" s="47">
        <v>1</v>
      </c>
      <c r="D322" s="54" t="s">
        <v>55</v>
      </c>
      <c r="E322" s="19">
        <f>+'mano de obra ELECT'!D25</f>
        <v>500</v>
      </c>
      <c r="F322" s="20">
        <f t="shared" si="19"/>
        <v>500</v>
      </c>
      <c r="G322" s="115"/>
      <c r="H322" s="114"/>
      <c r="I322" s="15"/>
    </row>
    <row r="323" spans="1:9" s="1" customFormat="1" ht="19.2" thickBot="1">
      <c r="B323" s="42"/>
      <c r="C323" s="43"/>
      <c r="D323" s="44"/>
      <c r="E323" s="45" t="s">
        <v>775</v>
      </c>
      <c r="F323" s="46">
        <f>SUM(F311:F322)</f>
        <v>1266.2379999999998</v>
      </c>
    </row>
    <row r="324" spans="1:9" ht="16.8" thickTop="1" thickBot="1">
      <c r="A324" s="159"/>
      <c r="B324" s="167"/>
      <c r="C324" s="166"/>
      <c r="D324" s="166"/>
      <c r="E324" s="165"/>
      <c r="F324" s="164"/>
      <c r="G324" s="158"/>
      <c r="H324" s="158"/>
      <c r="I324" s="158"/>
    </row>
    <row r="325" spans="1:9" s="1" customFormat="1" ht="19.2" thickBot="1">
      <c r="A325" s="26"/>
      <c r="B325" s="36" t="s">
        <v>806</v>
      </c>
      <c r="C325" s="37"/>
      <c r="D325" s="37"/>
      <c r="E325" s="38"/>
      <c r="F325" s="39"/>
    </row>
    <row r="326" spans="1:9" s="14" customFormat="1" ht="18.600000000000001">
      <c r="A326" s="1"/>
      <c r="B326" s="52" t="s">
        <v>779</v>
      </c>
      <c r="C326" s="47" t="s">
        <v>59</v>
      </c>
      <c r="D326" s="54" t="s">
        <v>778</v>
      </c>
      <c r="E326" s="19" t="s">
        <v>320</v>
      </c>
      <c r="F326" s="20" t="s">
        <v>287</v>
      </c>
      <c r="G326" s="115"/>
      <c r="H326" s="114"/>
      <c r="I326" s="15"/>
    </row>
    <row r="327" spans="1:9" s="14" customFormat="1" ht="18.600000000000001">
      <c r="A327" s="1"/>
      <c r="B327" s="52" t="s">
        <v>772</v>
      </c>
      <c r="C327" s="47">
        <v>1</v>
      </c>
      <c r="D327" s="54" t="s">
        <v>58</v>
      </c>
      <c r="E327" s="19">
        <f>+'insumos ELECT'!E35</f>
        <v>33.64</v>
      </c>
      <c r="F327" s="20">
        <f t="shared" ref="F327:F338" si="20">C327*E327</f>
        <v>33.64</v>
      </c>
      <c r="G327" s="115"/>
      <c r="H327" s="114"/>
      <c r="I327" s="15"/>
    </row>
    <row r="328" spans="1:9" s="14" customFormat="1" ht="18.600000000000001">
      <c r="A328" s="1"/>
      <c r="B328" s="52" t="s">
        <v>805</v>
      </c>
      <c r="C328" s="47">
        <v>1.5</v>
      </c>
      <c r="D328" s="54" t="s">
        <v>58</v>
      </c>
      <c r="E328" s="19">
        <f>+'insumos ELECT'!E95</f>
        <v>149.63999999999999</v>
      </c>
      <c r="F328" s="20">
        <f t="shared" si="20"/>
        <v>224.45999999999998</v>
      </c>
      <c r="G328" s="115"/>
      <c r="H328" s="114"/>
      <c r="I328" s="15"/>
    </row>
    <row r="329" spans="1:9" s="14" customFormat="1" ht="18.600000000000001">
      <c r="A329" s="1"/>
      <c r="B329" s="52" t="s">
        <v>804</v>
      </c>
      <c r="C329" s="47">
        <v>2</v>
      </c>
      <c r="D329" s="54" t="s">
        <v>47</v>
      </c>
      <c r="E329" s="19">
        <f>+'insumos ELECT'!E96</f>
        <v>25.52</v>
      </c>
      <c r="F329" s="20">
        <f t="shared" si="20"/>
        <v>51.04</v>
      </c>
      <c r="G329" s="115"/>
      <c r="H329" s="114"/>
      <c r="I329" s="15"/>
    </row>
    <row r="330" spans="1:9" s="14" customFormat="1" ht="18.600000000000001">
      <c r="A330" s="1"/>
      <c r="B330" s="52" t="s">
        <v>773</v>
      </c>
      <c r="C330" s="47">
        <v>3</v>
      </c>
      <c r="D330" s="54" t="s">
        <v>58</v>
      </c>
      <c r="E330" s="19">
        <f>+'insumos ELECT'!E97</f>
        <v>10.44</v>
      </c>
      <c r="F330" s="20">
        <f t="shared" si="20"/>
        <v>31.32</v>
      </c>
      <c r="G330" s="115"/>
      <c r="H330" s="114"/>
      <c r="I330" s="15"/>
    </row>
    <row r="331" spans="1:9" s="14" customFormat="1" ht="18.600000000000001">
      <c r="A331" s="1"/>
      <c r="B331" s="52" t="s">
        <v>803</v>
      </c>
      <c r="C331" s="47">
        <v>2</v>
      </c>
      <c r="D331" s="54" t="s">
        <v>58</v>
      </c>
      <c r="E331" s="19">
        <f>+'insumos ELECT'!E98</f>
        <v>10.44</v>
      </c>
      <c r="F331" s="20">
        <f t="shared" si="20"/>
        <v>20.88</v>
      </c>
      <c r="G331" s="115"/>
      <c r="H331" s="114"/>
      <c r="I331" s="15"/>
    </row>
    <row r="332" spans="1:9" s="14" customFormat="1" ht="18.600000000000001">
      <c r="A332" s="1"/>
      <c r="B332" s="52" t="s">
        <v>802</v>
      </c>
      <c r="C332" s="47">
        <v>45</v>
      </c>
      <c r="D332" s="54" t="s">
        <v>47</v>
      </c>
      <c r="E332" s="19">
        <f>+'insumos ELECT'!E20</f>
        <v>6.0667999999999997</v>
      </c>
      <c r="F332" s="20">
        <f t="shared" si="20"/>
        <v>273.00599999999997</v>
      </c>
      <c r="G332" s="115"/>
      <c r="H332" s="114"/>
      <c r="I332" s="15"/>
    </row>
    <row r="333" spans="1:9" s="14" customFormat="1" ht="18.600000000000001">
      <c r="A333" s="1"/>
      <c r="B333" s="52" t="s">
        <v>795</v>
      </c>
      <c r="C333" s="47">
        <v>0.05</v>
      </c>
      <c r="D333" s="54" t="s">
        <v>794</v>
      </c>
      <c r="E333" s="19">
        <f>+'insumos ELECT'!E27</f>
        <v>243.6</v>
      </c>
      <c r="F333" s="20">
        <f t="shared" si="20"/>
        <v>12.18</v>
      </c>
      <c r="G333" s="115"/>
      <c r="H333" s="114"/>
      <c r="I333" s="15"/>
    </row>
    <row r="334" spans="1:9" s="14" customFormat="1" ht="18.600000000000001">
      <c r="A334" s="1"/>
      <c r="B334" s="52" t="s">
        <v>801</v>
      </c>
      <c r="C334" s="47">
        <v>4</v>
      </c>
      <c r="D334" s="54" t="s">
        <v>58</v>
      </c>
      <c r="E334" s="19">
        <f>+'insumos ELECT'!E109</f>
        <v>3.4799999999999995</v>
      </c>
      <c r="F334" s="20">
        <f t="shared" si="20"/>
        <v>13.919999999999998</v>
      </c>
      <c r="G334" s="115"/>
      <c r="H334" s="114"/>
      <c r="I334" s="15"/>
    </row>
    <row r="335" spans="1:9" s="14" customFormat="1" ht="18.600000000000001">
      <c r="A335" s="1"/>
      <c r="B335" s="52" t="s">
        <v>783</v>
      </c>
      <c r="C335" s="47">
        <v>8</v>
      </c>
      <c r="D335" s="54" t="s">
        <v>58</v>
      </c>
      <c r="E335" s="19">
        <f>+'insumos ELECT'!E84</f>
        <v>7.4239999999999995</v>
      </c>
      <c r="F335" s="20">
        <f t="shared" si="20"/>
        <v>59.391999999999996</v>
      </c>
      <c r="G335" s="115"/>
      <c r="H335" s="114"/>
      <c r="I335" s="15"/>
    </row>
    <row r="336" spans="1:9" s="14" customFormat="1" ht="18.600000000000001">
      <c r="A336" s="1"/>
      <c r="B336" s="52" t="s">
        <v>800</v>
      </c>
      <c r="C336" s="47">
        <v>1</v>
      </c>
      <c r="D336" s="54" t="s">
        <v>58</v>
      </c>
      <c r="E336" s="19">
        <f>+'insumos ELECT'!E39</f>
        <v>57.999999999999993</v>
      </c>
      <c r="F336" s="20">
        <f t="shared" si="20"/>
        <v>57.999999999999993</v>
      </c>
      <c r="G336" s="115"/>
      <c r="H336" s="114"/>
      <c r="I336" s="15"/>
    </row>
    <row r="337" spans="1:9" s="14" customFormat="1" ht="18.600000000000001">
      <c r="A337" s="1"/>
      <c r="B337" s="52" t="s">
        <v>799</v>
      </c>
      <c r="C337" s="47">
        <v>1</v>
      </c>
      <c r="D337" s="54" t="s">
        <v>58</v>
      </c>
      <c r="E337" s="19">
        <f>+'insumos ELECT'!E75</f>
        <v>102.08</v>
      </c>
      <c r="F337" s="20">
        <f t="shared" si="20"/>
        <v>102.08</v>
      </c>
      <c r="G337" s="115"/>
      <c r="H337" s="114"/>
      <c r="I337" s="15"/>
    </row>
    <row r="338" spans="1:9" s="14" customFormat="1" ht="18.600000000000001">
      <c r="A338" s="1"/>
      <c r="B338" s="52" t="s">
        <v>133</v>
      </c>
      <c r="C338" s="47">
        <v>1</v>
      </c>
      <c r="D338" s="54" t="s">
        <v>55</v>
      </c>
      <c r="E338" s="19">
        <f>+'mano de obra ELECT'!D26</f>
        <v>500</v>
      </c>
      <c r="F338" s="20">
        <f t="shared" si="20"/>
        <v>500</v>
      </c>
      <c r="G338" s="115"/>
      <c r="H338" s="114"/>
      <c r="I338" s="15"/>
    </row>
    <row r="339" spans="1:9" s="1" customFormat="1" ht="19.2" thickBot="1">
      <c r="B339" s="42"/>
      <c r="C339" s="43"/>
      <c r="D339" s="44"/>
      <c r="E339" s="45" t="s">
        <v>775</v>
      </c>
      <c r="F339" s="46">
        <f>SUM(F327:F338)</f>
        <v>1379.9180000000001</v>
      </c>
    </row>
    <row r="340" spans="1:9" ht="16.8" thickTop="1" thickBot="1">
      <c r="A340" s="159"/>
      <c r="B340" s="167"/>
      <c r="C340" s="166"/>
      <c r="D340" s="166"/>
      <c r="E340" s="165"/>
      <c r="F340" s="164"/>
      <c r="G340" s="158"/>
      <c r="H340" s="158"/>
      <c r="I340" s="158"/>
    </row>
    <row r="341" spans="1:9" s="1" customFormat="1" ht="19.2" thickBot="1">
      <c r="A341" s="26"/>
      <c r="B341" s="36" t="s">
        <v>798</v>
      </c>
      <c r="C341" s="37"/>
      <c r="D341" s="37"/>
      <c r="E341" s="38"/>
      <c r="F341" s="39"/>
    </row>
    <row r="342" spans="1:9">
      <c r="A342" s="159"/>
      <c r="B342" s="156"/>
      <c r="C342" s="168"/>
      <c r="D342" s="168"/>
      <c r="E342" s="168"/>
      <c r="F342" s="168"/>
      <c r="G342" s="158"/>
      <c r="H342" s="158"/>
      <c r="I342" s="158"/>
    </row>
    <row r="343" spans="1:9" s="14" customFormat="1" ht="18.600000000000001">
      <c r="A343" s="1"/>
      <c r="B343" s="52" t="s">
        <v>789</v>
      </c>
      <c r="C343" s="47">
        <v>1</v>
      </c>
      <c r="D343" s="54" t="s">
        <v>58</v>
      </c>
      <c r="E343" s="19">
        <f>+'insumos ELECT'!E36</f>
        <v>42.919999999999995</v>
      </c>
      <c r="F343" s="20">
        <f t="shared" ref="F343:F354" si="21">E343*C343</f>
        <v>42.919999999999995</v>
      </c>
      <c r="G343" s="115"/>
      <c r="H343" s="114"/>
      <c r="I343" s="15"/>
    </row>
    <row r="344" spans="1:9" s="14" customFormat="1" ht="18.600000000000001">
      <c r="A344" s="1"/>
      <c r="B344" s="52" t="s">
        <v>788</v>
      </c>
      <c r="C344" s="47">
        <v>2</v>
      </c>
      <c r="D344" s="54" t="s">
        <v>58</v>
      </c>
      <c r="E344" s="19">
        <f>+'insumos ELECT'!E112</f>
        <v>219.23999999999998</v>
      </c>
      <c r="F344" s="20">
        <f t="shared" si="21"/>
        <v>438.47999999999996</v>
      </c>
      <c r="G344" s="115"/>
      <c r="H344" s="114"/>
      <c r="I344" s="15"/>
    </row>
    <row r="345" spans="1:9" s="14" customFormat="1" ht="18.600000000000001">
      <c r="A345" s="1"/>
      <c r="B345" s="52" t="s">
        <v>787</v>
      </c>
      <c r="C345" s="47">
        <v>2</v>
      </c>
      <c r="D345" s="54" t="s">
        <v>58</v>
      </c>
      <c r="E345" s="19">
        <f>+'insumos ELECT'!E113</f>
        <v>51.04</v>
      </c>
      <c r="F345" s="20">
        <f t="shared" si="21"/>
        <v>102.08</v>
      </c>
      <c r="G345" s="115"/>
      <c r="H345" s="114"/>
      <c r="I345" s="15"/>
    </row>
    <row r="346" spans="1:9" s="14" customFormat="1" ht="18.600000000000001">
      <c r="A346" s="1"/>
      <c r="B346" s="52" t="s">
        <v>786</v>
      </c>
      <c r="C346" s="47">
        <v>4</v>
      </c>
      <c r="D346" s="54" t="s">
        <v>58</v>
      </c>
      <c r="E346" s="19">
        <f>+'insumos ELECT'!E114</f>
        <v>15.079999999999998</v>
      </c>
      <c r="F346" s="20">
        <f t="shared" si="21"/>
        <v>60.319999999999993</v>
      </c>
      <c r="G346" s="115"/>
      <c r="H346" s="114"/>
      <c r="I346" s="15"/>
    </row>
    <row r="347" spans="1:9" s="14" customFormat="1" ht="18.600000000000001">
      <c r="A347" s="1"/>
      <c r="B347" s="52" t="s">
        <v>785</v>
      </c>
      <c r="C347" s="47">
        <v>2</v>
      </c>
      <c r="D347" s="54" t="s">
        <v>58</v>
      </c>
      <c r="E347" s="19">
        <f>+'insumos ELECT'!E115</f>
        <v>15.079999999999998</v>
      </c>
      <c r="F347" s="20">
        <f t="shared" si="21"/>
        <v>30.159999999999997</v>
      </c>
      <c r="G347" s="115"/>
      <c r="H347" s="114"/>
      <c r="I347" s="15"/>
    </row>
    <row r="348" spans="1:9" s="14" customFormat="1" ht="18.600000000000001">
      <c r="A348" s="1"/>
      <c r="B348" s="52" t="s">
        <v>784</v>
      </c>
      <c r="C348" s="47">
        <v>4</v>
      </c>
      <c r="D348" s="54" t="s">
        <v>58</v>
      </c>
      <c r="E348" s="19">
        <f>+'insumos ELECT'!E126</f>
        <v>5.8</v>
      </c>
      <c r="F348" s="20">
        <f t="shared" si="21"/>
        <v>23.2</v>
      </c>
      <c r="G348" s="115"/>
      <c r="H348" s="114"/>
      <c r="I348" s="15"/>
    </row>
    <row r="349" spans="1:9" s="14" customFormat="1" ht="18.600000000000001">
      <c r="A349" s="1"/>
      <c r="B349" s="52" t="s">
        <v>783</v>
      </c>
      <c r="C349" s="47">
        <v>8</v>
      </c>
      <c r="D349" s="54" t="s">
        <v>58</v>
      </c>
      <c r="E349" s="19">
        <f>+'insumos ELECT'!E84</f>
        <v>7.4239999999999995</v>
      </c>
      <c r="F349" s="20">
        <f t="shared" si="21"/>
        <v>59.391999999999996</v>
      </c>
      <c r="G349" s="115"/>
      <c r="H349" s="114"/>
      <c r="I349" s="15"/>
    </row>
    <row r="350" spans="1:9" s="14" customFormat="1" ht="18.600000000000001">
      <c r="A350" s="1"/>
      <c r="B350" s="52" t="s">
        <v>797</v>
      </c>
      <c r="C350" s="47">
        <v>44</v>
      </c>
      <c r="D350" s="54" t="s">
        <v>47</v>
      </c>
      <c r="E350" s="19">
        <f>+'insumos ELECT'!E21</f>
        <v>8.3171999999999997</v>
      </c>
      <c r="F350" s="20">
        <f t="shared" si="21"/>
        <v>365.95679999999999</v>
      </c>
      <c r="G350" s="115"/>
      <c r="H350" s="114"/>
      <c r="I350" s="15"/>
    </row>
    <row r="351" spans="1:9" s="14" customFormat="1" ht="18.600000000000001">
      <c r="A351" s="1"/>
      <c r="B351" s="52" t="s">
        <v>796</v>
      </c>
      <c r="C351" s="47">
        <v>22</v>
      </c>
      <c r="D351" s="54" t="s">
        <v>47</v>
      </c>
      <c r="E351" s="19">
        <f>+'insumos ELECT'!E19</f>
        <v>3.5611999999999995</v>
      </c>
      <c r="F351" s="20">
        <f t="shared" si="21"/>
        <v>78.346399999999988</v>
      </c>
      <c r="G351" s="115"/>
      <c r="H351" s="114"/>
      <c r="I351" s="15"/>
    </row>
    <row r="352" spans="1:9" s="14" customFormat="1" ht="18.600000000000001">
      <c r="A352" s="1"/>
      <c r="B352" s="52" t="s">
        <v>795</v>
      </c>
      <c r="C352" s="47">
        <v>0.05</v>
      </c>
      <c r="D352" s="54" t="s">
        <v>794</v>
      </c>
      <c r="E352" s="19">
        <f>+'insumos ELECT'!E27</f>
        <v>243.6</v>
      </c>
      <c r="F352" s="20">
        <f t="shared" si="21"/>
        <v>12.18</v>
      </c>
      <c r="G352" s="115"/>
      <c r="H352" s="114"/>
      <c r="I352" s="15"/>
    </row>
    <row r="353" spans="1:9" s="14" customFormat="1" ht="18.600000000000001">
      <c r="A353" s="1"/>
      <c r="B353" s="52" t="s">
        <v>793</v>
      </c>
      <c r="C353" s="47">
        <v>1</v>
      </c>
      <c r="D353" s="54" t="s">
        <v>58</v>
      </c>
      <c r="E353" s="19">
        <f>+'insumos ELECT'!E79</f>
        <v>139.19999999999999</v>
      </c>
      <c r="F353" s="20">
        <f t="shared" si="21"/>
        <v>139.19999999999999</v>
      </c>
      <c r="G353" s="115"/>
      <c r="H353" s="114"/>
      <c r="I353" s="15"/>
    </row>
    <row r="354" spans="1:9" s="14" customFormat="1" ht="18.600000000000001">
      <c r="A354" s="1"/>
      <c r="B354" s="52" t="s">
        <v>133</v>
      </c>
      <c r="C354" s="47">
        <v>1</v>
      </c>
      <c r="D354" s="54" t="s">
        <v>55</v>
      </c>
      <c r="E354" s="19">
        <f>+'mano de obra ELECT'!D27</f>
        <v>700</v>
      </c>
      <c r="F354" s="20">
        <f t="shared" si="21"/>
        <v>700</v>
      </c>
      <c r="G354" s="115"/>
      <c r="H354" s="114"/>
      <c r="I354" s="15"/>
    </row>
    <row r="355" spans="1:9" s="1" customFormat="1" ht="19.2" thickBot="1">
      <c r="B355" s="42"/>
      <c r="C355" s="43"/>
      <c r="D355" s="44"/>
      <c r="E355" s="45" t="s">
        <v>775</v>
      </c>
      <c r="F355" s="46">
        <f>SUM(F343:F354)</f>
        <v>2052.2352000000001</v>
      </c>
    </row>
    <row r="356" spans="1:9" ht="16.8" thickTop="1" thickBot="1">
      <c r="A356" s="159"/>
      <c r="B356" s="167"/>
      <c r="C356" s="166"/>
      <c r="D356" s="166"/>
      <c r="E356" s="165"/>
      <c r="F356" s="164"/>
      <c r="G356" s="158"/>
      <c r="H356" s="158"/>
      <c r="I356" s="158"/>
    </row>
    <row r="357" spans="1:9" s="1" customFormat="1" ht="19.2" thickBot="1">
      <c r="A357" s="26"/>
      <c r="B357" s="36" t="s">
        <v>792</v>
      </c>
      <c r="C357" s="37"/>
      <c r="D357" s="37"/>
      <c r="E357" s="38"/>
      <c r="F357" s="39"/>
    </row>
    <row r="358" spans="1:9">
      <c r="A358" s="159"/>
      <c r="B358" s="156"/>
      <c r="C358" s="168"/>
      <c r="D358" s="168"/>
      <c r="E358" s="168"/>
      <c r="F358" s="168"/>
      <c r="G358" s="158"/>
      <c r="H358" s="158"/>
      <c r="I358" s="158"/>
    </row>
    <row r="359" spans="1:9" s="14" customFormat="1" ht="18.600000000000001">
      <c r="A359" s="1"/>
      <c r="B359" s="52" t="s">
        <v>789</v>
      </c>
      <c r="C359" s="47">
        <v>1</v>
      </c>
      <c r="D359" s="54" t="s">
        <v>58</v>
      </c>
      <c r="E359" s="19">
        <f>+'insumos ELECT'!E36</f>
        <v>42.919999999999995</v>
      </c>
      <c r="F359" s="20">
        <f t="shared" ref="F359:F368" si="22">E359*C359</f>
        <v>42.919999999999995</v>
      </c>
      <c r="G359" s="115"/>
      <c r="H359" s="114"/>
      <c r="I359" s="15"/>
    </row>
    <row r="360" spans="1:9" s="14" customFormat="1" ht="18.600000000000001">
      <c r="A360" s="1"/>
      <c r="B360" s="52" t="s">
        <v>788</v>
      </c>
      <c r="C360" s="47">
        <v>2</v>
      </c>
      <c r="D360" s="54" t="s">
        <v>58</v>
      </c>
      <c r="E360" s="19">
        <f>+'insumos ELECT'!E112</f>
        <v>219.23999999999998</v>
      </c>
      <c r="F360" s="20">
        <f t="shared" si="22"/>
        <v>438.47999999999996</v>
      </c>
      <c r="G360" s="115"/>
      <c r="H360" s="114"/>
      <c r="I360" s="15"/>
    </row>
    <row r="361" spans="1:9" s="14" customFormat="1" ht="18.600000000000001">
      <c r="A361" s="1"/>
      <c r="B361" s="52" t="s">
        <v>787</v>
      </c>
      <c r="C361" s="47">
        <v>1</v>
      </c>
      <c r="D361" s="54" t="s">
        <v>58</v>
      </c>
      <c r="E361" s="19">
        <f>+'insumos ELECT'!E113</f>
        <v>51.04</v>
      </c>
      <c r="F361" s="20">
        <f t="shared" si="22"/>
        <v>51.04</v>
      </c>
      <c r="G361" s="115"/>
      <c r="H361" s="114"/>
      <c r="I361" s="15"/>
    </row>
    <row r="362" spans="1:9" s="14" customFormat="1" ht="18.600000000000001">
      <c r="A362" s="1"/>
      <c r="B362" s="52" t="s">
        <v>786</v>
      </c>
      <c r="C362" s="47">
        <v>2</v>
      </c>
      <c r="D362" s="54" t="s">
        <v>58</v>
      </c>
      <c r="E362" s="19">
        <f>+'insumos ELECT'!E114</f>
        <v>15.079999999999998</v>
      </c>
      <c r="F362" s="20">
        <f t="shared" si="22"/>
        <v>30.159999999999997</v>
      </c>
      <c r="G362" s="115"/>
      <c r="H362" s="114"/>
      <c r="I362" s="15"/>
    </row>
    <row r="363" spans="1:9" s="14" customFormat="1" ht="18.600000000000001">
      <c r="A363" s="1"/>
      <c r="B363" s="52" t="s">
        <v>785</v>
      </c>
      <c r="C363" s="47">
        <v>2</v>
      </c>
      <c r="D363" s="54" t="s">
        <v>58</v>
      </c>
      <c r="E363" s="19">
        <f>+'insumos ELECT'!E115</f>
        <v>15.079999999999998</v>
      </c>
      <c r="F363" s="20">
        <f t="shared" si="22"/>
        <v>30.159999999999997</v>
      </c>
      <c r="G363" s="115"/>
      <c r="H363" s="114"/>
      <c r="I363" s="15"/>
    </row>
    <row r="364" spans="1:9" s="14" customFormat="1" ht="18.600000000000001">
      <c r="A364" s="1"/>
      <c r="B364" s="52" t="s">
        <v>784</v>
      </c>
      <c r="C364" s="47">
        <v>4</v>
      </c>
      <c r="D364" s="54" t="s">
        <v>58</v>
      </c>
      <c r="E364" s="19">
        <f>+'insumos ELECT'!E126</f>
        <v>5.8</v>
      </c>
      <c r="F364" s="20">
        <f t="shared" si="22"/>
        <v>23.2</v>
      </c>
      <c r="G364" s="115"/>
      <c r="H364" s="114"/>
      <c r="I364" s="15"/>
    </row>
    <row r="365" spans="1:9" s="14" customFormat="1" ht="18.600000000000001">
      <c r="A365" s="1"/>
      <c r="B365" s="52" t="s">
        <v>783</v>
      </c>
      <c r="C365" s="47">
        <v>8</v>
      </c>
      <c r="D365" s="54" t="s">
        <v>58</v>
      </c>
      <c r="E365" s="19">
        <f>+'insumos ELECT'!E84</f>
        <v>7.4239999999999995</v>
      </c>
      <c r="F365" s="20">
        <f t="shared" si="22"/>
        <v>59.391999999999996</v>
      </c>
      <c r="G365" s="115"/>
      <c r="H365" s="114"/>
      <c r="I365" s="15"/>
    </row>
    <row r="366" spans="1:9" s="14" customFormat="1" ht="18.600000000000001">
      <c r="A366" s="1"/>
      <c r="B366" s="52" t="s">
        <v>782</v>
      </c>
      <c r="C366" s="47">
        <v>1</v>
      </c>
      <c r="D366" s="54" t="s">
        <v>1</v>
      </c>
      <c r="E366" s="19">
        <v>45</v>
      </c>
      <c r="F366" s="20">
        <f t="shared" si="22"/>
        <v>45</v>
      </c>
      <c r="G366" s="115"/>
      <c r="H366" s="114"/>
      <c r="I366" s="15"/>
    </row>
    <row r="367" spans="1:9" s="14" customFormat="1" ht="18.600000000000001">
      <c r="A367" s="1"/>
      <c r="B367" s="52" t="s">
        <v>781</v>
      </c>
      <c r="C367" s="47">
        <v>1</v>
      </c>
      <c r="D367" s="54" t="s">
        <v>58</v>
      </c>
      <c r="E367" s="19">
        <f>+'insumos ELECT'!E37</f>
        <v>5.8</v>
      </c>
      <c r="F367" s="20">
        <f t="shared" si="22"/>
        <v>5.8</v>
      </c>
      <c r="G367" s="115"/>
      <c r="H367" s="114"/>
      <c r="I367" s="15"/>
    </row>
    <row r="368" spans="1:9" s="14" customFormat="1" ht="18.600000000000001">
      <c r="A368" s="1"/>
      <c r="B368" s="52" t="s">
        <v>133</v>
      </c>
      <c r="C368" s="47">
        <v>1</v>
      </c>
      <c r="D368" s="54" t="s">
        <v>55</v>
      </c>
      <c r="E368" s="19">
        <f>+'mano de obra ELECT'!D28</f>
        <v>450</v>
      </c>
      <c r="F368" s="20">
        <f t="shared" si="22"/>
        <v>450</v>
      </c>
      <c r="G368" s="115"/>
      <c r="H368" s="114"/>
      <c r="I368" s="15"/>
    </row>
    <row r="369" spans="1:9" s="1" customFormat="1" ht="19.2" thickBot="1">
      <c r="B369" s="42"/>
      <c r="C369" s="43"/>
      <c r="D369" s="44"/>
      <c r="E369" s="45" t="s">
        <v>775</v>
      </c>
      <c r="F369" s="46">
        <f>SUM(F359:F368)</f>
        <v>1176.1519999999998</v>
      </c>
    </row>
    <row r="370" spans="1:9" ht="16.8" thickTop="1" thickBot="1">
      <c r="A370" s="159"/>
      <c r="B370" s="167"/>
      <c r="C370" s="166"/>
      <c r="D370" s="166"/>
      <c r="E370" s="165"/>
      <c r="F370" s="164"/>
      <c r="G370" s="158"/>
      <c r="H370" s="158"/>
      <c r="I370" s="158"/>
    </row>
    <row r="371" spans="1:9" s="1" customFormat="1" ht="19.2" thickBot="1">
      <c r="A371" s="26"/>
      <c r="B371" s="36" t="s">
        <v>791</v>
      </c>
      <c r="C371" s="37"/>
      <c r="D371" s="37"/>
      <c r="E371" s="38"/>
      <c r="F371" s="39"/>
    </row>
    <row r="372" spans="1:9" s="14" customFormat="1" ht="18.600000000000001">
      <c r="A372" s="1"/>
      <c r="B372" s="52" t="s">
        <v>779</v>
      </c>
      <c r="C372" s="47" t="s">
        <v>59</v>
      </c>
      <c r="D372" s="54" t="s">
        <v>778</v>
      </c>
      <c r="E372" s="19" t="s">
        <v>320</v>
      </c>
      <c r="F372" s="20" t="s">
        <v>287</v>
      </c>
      <c r="G372" s="115"/>
      <c r="H372" s="114"/>
      <c r="I372" s="15"/>
    </row>
    <row r="373" spans="1:9" s="14" customFormat="1" ht="18.600000000000001">
      <c r="A373" s="1"/>
      <c r="B373" s="52" t="s">
        <v>789</v>
      </c>
      <c r="C373" s="47">
        <v>1</v>
      </c>
      <c r="D373" s="54" t="s">
        <v>58</v>
      </c>
      <c r="E373" s="19">
        <f>+'insumos ELECT'!E36</f>
        <v>42.919999999999995</v>
      </c>
      <c r="F373" s="20">
        <f t="shared" ref="F373:F382" si="23">E373*C373</f>
        <v>42.919999999999995</v>
      </c>
      <c r="G373" s="115"/>
      <c r="H373" s="114"/>
      <c r="I373" s="15"/>
    </row>
    <row r="374" spans="1:9" s="14" customFormat="1" ht="18.600000000000001">
      <c r="A374" s="1"/>
      <c r="B374" s="52" t="s">
        <v>788</v>
      </c>
      <c r="C374" s="47">
        <v>2</v>
      </c>
      <c r="D374" s="54" t="s">
        <v>58</v>
      </c>
      <c r="E374" s="19">
        <f>+'insumos ELECT'!E112</f>
        <v>219.23999999999998</v>
      </c>
      <c r="F374" s="20">
        <f t="shared" si="23"/>
        <v>438.47999999999996</v>
      </c>
      <c r="G374" s="115"/>
      <c r="H374" s="114"/>
      <c r="I374" s="15"/>
    </row>
    <row r="375" spans="1:9" s="14" customFormat="1" ht="18.600000000000001">
      <c r="A375" s="1"/>
      <c r="B375" s="52" t="s">
        <v>787</v>
      </c>
      <c r="C375" s="47">
        <v>1</v>
      </c>
      <c r="D375" s="54" t="s">
        <v>58</v>
      </c>
      <c r="E375" s="19">
        <f>+'insumos ELECT'!E113</f>
        <v>51.04</v>
      </c>
      <c r="F375" s="20">
        <f t="shared" si="23"/>
        <v>51.04</v>
      </c>
      <c r="G375" s="115"/>
      <c r="H375" s="114"/>
      <c r="I375" s="15"/>
    </row>
    <row r="376" spans="1:9" s="14" customFormat="1" ht="18.600000000000001">
      <c r="A376" s="1"/>
      <c r="B376" s="52" t="s">
        <v>786</v>
      </c>
      <c r="C376" s="47">
        <v>2</v>
      </c>
      <c r="D376" s="54" t="s">
        <v>58</v>
      </c>
      <c r="E376" s="19">
        <f>+'insumos ELECT'!E114</f>
        <v>15.079999999999998</v>
      </c>
      <c r="F376" s="20">
        <f t="shared" si="23"/>
        <v>30.159999999999997</v>
      </c>
      <c r="G376" s="115"/>
      <c r="H376" s="114"/>
      <c r="I376" s="15"/>
    </row>
    <row r="377" spans="1:9" s="14" customFormat="1" ht="18.600000000000001">
      <c r="A377" s="1"/>
      <c r="B377" s="52" t="s">
        <v>785</v>
      </c>
      <c r="C377" s="47">
        <v>2</v>
      </c>
      <c r="D377" s="54" t="s">
        <v>58</v>
      </c>
      <c r="E377" s="19">
        <f>+'insumos ELECT'!E115</f>
        <v>15.079999999999998</v>
      </c>
      <c r="F377" s="20">
        <f t="shared" si="23"/>
        <v>30.159999999999997</v>
      </c>
      <c r="G377" s="115"/>
      <c r="H377" s="114"/>
      <c r="I377" s="15"/>
    </row>
    <row r="378" spans="1:9" s="14" customFormat="1" ht="18.600000000000001">
      <c r="A378" s="1"/>
      <c r="B378" s="52" t="s">
        <v>784</v>
      </c>
      <c r="C378" s="47">
        <v>4</v>
      </c>
      <c r="D378" s="54" t="s">
        <v>58</v>
      </c>
      <c r="E378" s="19">
        <f>+'insumos ELECT'!E126</f>
        <v>5.8</v>
      </c>
      <c r="F378" s="20">
        <f t="shared" si="23"/>
        <v>23.2</v>
      </c>
      <c r="G378" s="115"/>
      <c r="H378" s="114"/>
      <c r="I378" s="15"/>
    </row>
    <row r="379" spans="1:9" s="14" customFormat="1" ht="18.600000000000001">
      <c r="A379" s="1"/>
      <c r="B379" s="52" t="s">
        <v>783</v>
      </c>
      <c r="C379" s="47">
        <v>8</v>
      </c>
      <c r="D379" s="54" t="s">
        <v>58</v>
      </c>
      <c r="E379" s="19">
        <f>+'insumos ELECT'!E84</f>
        <v>7.4239999999999995</v>
      </c>
      <c r="F379" s="20">
        <f t="shared" si="23"/>
        <v>59.391999999999996</v>
      </c>
      <c r="G379" s="115"/>
      <c r="H379" s="114"/>
      <c r="I379" s="15"/>
    </row>
    <row r="380" spans="1:9" s="14" customFormat="1" ht="18.600000000000001">
      <c r="A380" s="1"/>
      <c r="B380" s="52" t="s">
        <v>782</v>
      </c>
      <c r="C380" s="47">
        <v>1</v>
      </c>
      <c r="D380" s="54" t="s">
        <v>1</v>
      </c>
      <c r="E380" s="19">
        <v>45</v>
      </c>
      <c r="F380" s="20">
        <f t="shared" si="23"/>
        <v>45</v>
      </c>
      <c r="G380" s="115"/>
      <c r="H380" s="114"/>
      <c r="I380" s="15"/>
    </row>
    <row r="381" spans="1:9" s="14" customFormat="1" ht="18.600000000000001">
      <c r="A381" s="1"/>
      <c r="B381" s="52" t="s">
        <v>781</v>
      </c>
      <c r="C381" s="47">
        <v>1</v>
      </c>
      <c r="D381" s="54" t="s">
        <v>58</v>
      </c>
      <c r="E381" s="19">
        <f>+'insumos ELECT'!E37</f>
        <v>5.8</v>
      </c>
      <c r="F381" s="20">
        <f t="shared" si="23"/>
        <v>5.8</v>
      </c>
      <c r="G381" s="115"/>
      <c r="H381" s="114"/>
      <c r="I381" s="15"/>
    </row>
    <row r="382" spans="1:9" s="14" customFormat="1" ht="18.600000000000001">
      <c r="A382" s="1"/>
      <c r="B382" s="52" t="s">
        <v>133</v>
      </c>
      <c r="C382" s="47">
        <v>1</v>
      </c>
      <c r="D382" s="54" t="s">
        <v>55</v>
      </c>
      <c r="E382" s="19">
        <f>+'mano de obra ELECT'!D29</f>
        <v>450</v>
      </c>
      <c r="F382" s="20">
        <f t="shared" si="23"/>
        <v>450</v>
      </c>
      <c r="G382" s="115"/>
      <c r="H382" s="114"/>
      <c r="I382" s="15"/>
    </row>
    <row r="383" spans="1:9" s="1" customFormat="1" ht="19.2" thickBot="1">
      <c r="B383" s="42"/>
      <c r="C383" s="43"/>
      <c r="D383" s="44"/>
      <c r="E383" s="45" t="s">
        <v>775</v>
      </c>
      <c r="F383" s="46">
        <f>SUM(F373:F382)</f>
        <v>1176.1519999999998</v>
      </c>
    </row>
    <row r="384" spans="1:9" ht="16.8" thickTop="1" thickBot="1">
      <c r="A384" s="159"/>
      <c r="B384" s="167"/>
      <c r="C384" s="166"/>
      <c r="D384" s="166"/>
      <c r="E384" s="165"/>
      <c r="F384" s="164"/>
      <c r="G384" s="158"/>
      <c r="H384" s="158"/>
      <c r="I384" s="158"/>
    </row>
    <row r="385" spans="1:9" s="1" customFormat="1" ht="19.2" thickBot="1">
      <c r="A385" s="26"/>
      <c r="B385" s="36" t="s">
        <v>790</v>
      </c>
      <c r="C385" s="37"/>
      <c r="D385" s="37"/>
      <c r="E385" s="38"/>
      <c r="F385" s="39"/>
    </row>
    <row r="386" spans="1:9">
      <c r="A386" s="159"/>
      <c r="B386" s="156"/>
      <c r="C386" s="168"/>
      <c r="D386" s="168"/>
      <c r="E386" s="168"/>
      <c r="F386" s="168"/>
      <c r="G386" s="158"/>
      <c r="H386" s="158"/>
      <c r="I386" s="158"/>
    </row>
    <row r="387" spans="1:9" s="14" customFormat="1" ht="18.600000000000001">
      <c r="A387" s="1"/>
      <c r="B387" s="52" t="s">
        <v>789</v>
      </c>
      <c r="C387" s="47">
        <v>1</v>
      </c>
      <c r="D387" s="54" t="s">
        <v>58</v>
      </c>
      <c r="E387" s="19">
        <f>+'insumos ELECT'!E36</f>
        <v>42.919999999999995</v>
      </c>
      <c r="F387" s="20">
        <f t="shared" ref="F387:F396" si="24">E387*C387</f>
        <v>42.919999999999995</v>
      </c>
      <c r="G387" s="115"/>
      <c r="H387" s="114"/>
      <c r="I387" s="15"/>
    </row>
    <row r="388" spans="1:9" s="14" customFormat="1" ht="18.600000000000001">
      <c r="A388" s="1"/>
      <c r="B388" s="52" t="s">
        <v>788</v>
      </c>
      <c r="C388" s="47">
        <v>2</v>
      </c>
      <c r="D388" s="54" t="s">
        <v>58</v>
      </c>
      <c r="E388" s="19">
        <f>+'insumos ELECT'!E112</f>
        <v>219.23999999999998</v>
      </c>
      <c r="F388" s="20">
        <f t="shared" si="24"/>
        <v>438.47999999999996</v>
      </c>
      <c r="G388" s="115"/>
      <c r="H388" s="114"/>
      <c r="I388" s="15"/>
    </row>
    <row r="389" spans="1:9" s="14" customFormat="1" ht="18.600000000000001">
      <c r="A389" s="1"/>
      <c r="B389" s="52" t="s">
        <v>787</v>
      </c>
      <c r="C389" s="47">
        <v>1</v>
      </c>
      <c r="D389" s="54" t="s">
        <v>58</v>
      </c>
      <c r="E389" s="19">
        <f>+'insumos ELECT'!E113</f>
        <v>51.04</v>
      </c>
      <c r="F389" s="20">
        <f t="shared" si="24"/>
        <v>51.04</v>
      </c>
      <c r="G389" s="115"/>
      <c r="H389" s="114"/>
      <c r="I389" s="15"/>
    </row>
    <row r="390" spans="1:9" s="14" customFormat="1" ht="18.600000000000001">
      <c r="A390" s="1"/>
      <c r="B390" s="52" t="s">
        <v>786</v>
      </c>
      <c r="C390" s="47">
        <v>2</v>
      </c>
      <c r="D390" s="54" t="s">
        <v>58</v>
      </c>
      <c r="E390" s="19">
        <f>+'insumos ELECT'!E114</f>
        <v>15.079999999999998</v>
      </c>
      <c r="F390" s="20">
        <f t="shared" si="24"/>
        <v>30.159999999999997</v>
      </c>
      <c r="G390" s="115"/>
      <c r="H390" s="114"/>
      <c r="I390" s="15"/>
    </row>
    <row r="391" spans="1:9" s="14" customFormat="1" ht="18.600000000000001">
      <c r="A391" s="1"/>
      <c r="B391" s="52" t="s">
        <v>785</v>
      </c>
      <c r="C391" s="47">
        <v>2</v>
      </c>
      <c r="D391" s="54" t="s">
        <v>58</v>
      </c>
      <c r="E391" s="19">
        <f>+'insumos ELECT'!E115</f>
        <v>15.079999999999998</v>
      </c>
      <c r="F391" s="20">
        <f t="shared" si="24"/>
        <v>30.159999999999997</v>
      </c>
      <c r="G391" s="115"/>
      <c r="H391" s="114"/>
      <c r="I391" s="15"/>
    </row>
    <row r="392" spans="1:9" s="14" customFormat="1" ht="18.600000000000001">
      <c r="A392" s="1"/>
      <c r="B392" s="52" t="s">
        <v>784</v>
      </c>
      <c r="C392" s="47">
        <v>4</v>
      </c>
      <c r="D392" s="54" t="s">
        <v>58</v>
      </c>
      <c r="E392" s="19">
        <f>+'insumos ELECT'!E126</f>
        <v>5.8</v>
      </c>
      <c r="F392" s="20">
        <f t="shared" si="24"/>
        <v>23.2</v>
      </c>
      <c r="G392" s="115"/>
      <c r="H392" s="114"/>
      <c r="I392" s="15"/>
    </row>
    <row r="393" spans="1:9" s="14" customFormat="1" ht="18.600000000000001">
      <c r="A393" s="1"/>
      <c r="B393" s="52" t="s">
        <v>783</v>
      </c>
      <c r="C393" s="47">
        <v>8</v>
      </c>
      <c r="D393" s="54" t="s">
        <v>58</v>
      </c>
      <c r="E393" s="19">
        <f>+'insumos ELECT'!E84</f>
        <v>7.4239999999999995</v>
      </c>
      <c r="F393" s="20">
        <f t="shared" si="24"/>
        <v>59.391999999999996</v>
      </c>
      <c r="G393" s="115"/>
      <c r="H393" s="114"/>
      <c r="I393" s="15"/>
    </row>
    <row r="394" spans="1:9" s="14" customFormat="1" ht="18.600000000000001">
      <c r="A394" s="1"/>
      <c r="B394" s="52" t="s">
        <v>782</v>
      </c>
      <c r="C394" s="47">
        <v>1</v>
      </c>
      <c r="D394" s="54" t="s">
        <v>1</v>
      </c>
      <c r="E394" s="19">
        <v>45</v>
      </c>
      <c r="F394" s="20">
        <f t="shared" si="24"/>
        <v>45</v>
      </c>
      <c r="G394" s="115"/>
      <c r="H394" s="114"/>
      <c r="I394" s="15"/>
    </row>
    <row r="395" spans="1:9" s="14" customFormat="1" ht="18.600000000000001">
      <c r="A395" s="1"/>
      <c r="B395" s="52" t="s">
        <v>781</v>
      </c>
      <c r="C395" s="47">
        <v>1</v>
      </c>
      <c r="D395" s="54" t="s">
        <v>58</v>
      </c>
      <c r="E395" s="19">
        <f>+'insumos ELECT'!E37</f>
        <v>5.8</v>
      </c>
      <c r="F395" s="20">
        <f t="shared" si="24"/>
        <v>5.8</v>
      </c>
      <c r="G395" s="115"/>
      <c r="H395" s="114"/>
      <c r="I395" s="15"/>
    </row>
    <row r="396" spans="1:9" s="14" customFormat="1" ht="18.600000000000001">
      <c r="A396" s="1"/>
      <c r="B396" s="52" t="s">
        <v>133</v>
      </c>
      <c r="C396" s="47">
        <v>1</v>
      </c>
      <c r="D396" s="54" t="s">
        <v>55</v>
      </c>
      <c r="E396" s="19">
        <f>+'mano de obra ELECT'!D30</f>
        <v>450</v>
      </c>
      <c r="F396" s="20">
        <f t="shared" si="24"/>
        <v>450</v>
      </c>
      <c r="G396" s="115"/>
      <c r="H396" s="114"/>
      <c r="I396" s="15"/>
    </row>
    <row r="397" spans="1:9" s="1" customFormat="1" ht="19.2" thickBot="1">
      <c r="B397" s="42"/>
      <c r="C397" s="43"/>
      <c r="D397" s="44"/>
      <c r="E397" s="45" t="s">
        <v>775</v>
      </c>
      <c r="F397" s="46">
        <f>SUM(F387:F396)</f>
        <v>1176.1519999999998</v>
      </c>
    </row>
    <row r="398" spans="1:9" ht="16.8" thickTop="1" thickBot="1">
      <c r="A398" s="159"/>
      <c r="B398" s="167"/>
      <c r="C398" s="166"/>
      <c r="D398" s="166"/>
      <c r="E398" s="165"/>
      <c r="F398" s="164"/>
      <c r="G398" s="158"/>
      <c r="H398" s="158"/>
      <c r="I398" s="158"/>
    </row>
    <row r="399" spans="1:9" s="1" customFormat="1" ht="19.2" thickBot="1">
      <c r="A399" s="26"/>
      <c r="B399" s="36" t="s">
        <v>780</v>
      </c>
      <c r="C399" s="37"/>
      <c r="D399" s="37"/>
      <c r="E399" s="38"/>
      <c r="F399" s="39"/>
    </row>
    <row r="400" spans="1:9">
      <c r="A400" s="159"/>
      <c r="B400" s="156"/>
      <c r="C400" s="163"/>
      <c r="D400" s="163"/>
      <c r="E400" s="163"/>
      <c r="F400" s="163"/>
      <c r="G400" s="161"/>
      <c r="H400" s="158"/>
      <c r="I400" s="158"/>
    </row>
    <row r="401" spans="1:9" s="14" customFormat="1" ht="18.600000000000001">
      <c r="A401" s="1"/>
      <c r="B401" s="52" t="s">
        <v>777</v>
      </c>
      <c r="C401" s="47">
        <v>1</v>
      </c>
      <c r="D401" s="54" t="s">
        <v>58</v>
      </c>
      <c r="E401" s="19">
        <f>+'insumos ELECT'!E40</f>
        <v>77.72</v>
      </c>
      <c r="F401" s="20">
        <f>C401*E401</f>
        <v>77.72</v>
      </c>
      <c r="G401" s="115"/>
      <c r="H401" s="114"/>
      <c r="I401" s="15"/>
    </row>
    <row r="402" spans="1:9" s="14" customFormat="1" ht="18.600000000000001">
      <c r="A402" s="1"/>
      <c r="B402" s="52" t="s">
        <v>133</v>
      </c>
      <c r="C402" s="47">
        <v>1</v>
      </c>
      <c r="D402" s="54" t="s">
        <v>58</v>
      </c>
      <c r="E402" s="19">
        <f>+'mano de obra ELECT'!D31</f>
        <v>50</v>
      </c>
      <c r="F402" s="20">
        <f>C402*E402</f>
        <v>50</v>
      </c>
      <c r="G402" s="115"/>
      <c r="H402" s="114"/>
      <c r="I402" s="15"/>
    </row>
    <row r="403" spans="1:9" s="1" customFormat="1" ht="19.2" thickBot="1">
      <c r="B403" s="42"/>
      <c r="C403" s="43"/>
      <c r="D403" s="44"/>
      <c r="E403" s="45" t="s">
        <v>775</v>
      </c>
      <c r="F403" s="46">
        <f>SUM(F401:F402)</f>
        <v>127.72</v>
      </c>
    </row>
    <row r="404" spans="1:9" ht="16.8" thickTop="1" thickBot="1">
      <c r="A404" s="159"/>
      <c r="B404" s="160"/>
      <c r="C404" s="160"/>
      <c r="D404" s="160"/>
      <c r="E404" s="160"/>
      <c r="F404" s="160"/>
      <c r="G404" s="158"/>
      <c r="H404" s="158"/>
      <c r="I404" s="158"/>
    </row>
    <row r="405" spans="1:9" ht="16.8" thickBot="1">
      <c r="A405" s="26"/>
      <c r="B405" s="36" t="s">
        <v>1011</v>
      </c>
      <c r="C405" s="37"/>
      <c r="D405" s="37"/>
      <c r="E405" s="38"/>
      <c r="F405" s="39"/>
      <c r="G405" s="158"/>
      <c r="H405" s="158"/>
      <c r="I405" s="158"/>
    </row>
    <row r="406" spans="1:9" ht="18.600000000000001">
      <c r="A406" s="1"/>
      <c r="B406" s="52" t="s">
        <v>535</v>
      </c>
      <c r="C406" s="47"/>
      <c r="D406" s="54"/>
      <c r="E406" s="152"/>
      <c r="F406" s="20"/>
      <c r="G406" s="158"/>
      <c r="H406" s="158"/>
      <c r="I406" s="158"/>
    </row>
    <row r="407" spans="1:9" ht="18.600000000000001">
      <c r="A407" s="1"/>
      <c r="B407" s="52" t="s">
        <v>536</v>
      </c>
      <c r="C407" s="47">
        <v>1</v>
      </c>
      <c r="D407" s="54" t="s">
        <v>58</v>
      </c>
      <c r="E407" s="152">
        <f>4100.32*1.18</f>
        <v>4838.3775999999998</v>
      </c>
      <c r="F407" s="20">
        <f>C407*E407</f>
        <v>4838.3775999999998</v>
      </c>
      <c r="G407" s="158"/>
      <c r="H407" s="158"/>
      <c r="I407" s="158"/>
    </row>
    <row r="408" spans="1:9" ht="18.600000000000001">
      <c r="A408" s="1"/>
      <c r="B408" s="52" t="s">
        <v>375</v>
      </c>
      <c r="C408" s="47">
        <v>13</v>
      </c>
      <c r="D408" s="54" t="s">
        <v>58</v>
      </c>
      <c r="E408" s="152">
        <f>'insumos ELECT'!$E$214</f>
        <v>173.0942</v>
      </c>
      <c r="F408" s="20">
        <f>C408*E408</f>
        <v>2250.2246</v>
      </c>
      <c r="G408" s="158"/>
      <c r="H408" s="158"/>
      <c r="I408" s="158"/>
    </row>
    <row r="409" spans="1:9" ht="18.600000000000001">
      <c r="A409" s="1"/>
      <c r="B409" s="52" t="s">
        <v>537</v>
      </c>
      <c r="C409" s="47">
        <v>3</v>
      </c>
      <c r="D409" s="54" t="s">
        <v>58</v>
      </c>
      <c r="E409" s="152">
        <f>'insumos ELECT'!$E$215</f>
        <v>430.23507999999998</v>
      </c>
      <c r="F409" s="20">
        <f>C409*E409</f>
        <v>1290.70524</v>
      </c>
      <c r="G409" s="158"/>
      <c r="H409" s="158"/>
      <c r="I409" s="158"/>
    </row>
    <row r="410" spans="1:9" ht="18.600000000000001">
      <c r="A410" s="1"/>
      <c r="B410" s="52" t="s">
        <v>538</v>
      </c>
      <c r="C410" s="47">
        <v>1</v>
      </c>
      <c r="D410" s="54" t="s">
        <v>58</v>
      </c>
      <c r="E410" s="152">
        <f>'insumos ELECT'!$E$216</f>
        <v>489.31059999999997</v>
      </c>
      <c r="F410" s="20">
        <f>C410*E410</f>
        <v>489.31059999999997</v>
      </c>
      <c r="G410" s="158"/>
      <c r="H410" s="158"/>
      <c r="I410" s="158"/>
    </row>
    <row r="411" spans="1:9" ht="18.600000000000001">
      <c r="A411" s="1"/>
      <c r="B411" s="52" t="s">
        <v>539</v>
      </c>
      <c r="C411" s="47">
        <v>1</v>
      </c>
      <c r="D411" s="54" t="s">
        <v>58</v>
      </c>
      <c r="E411" s="152">
        <f>'insumos ELECT'!$E$217</f>
        <v>635.7367999999999</v>
      </c>
      <c r="F411" s="20">
        <f>C411*E411</f>
        <v>635.7367999999999</v>
      </c>
      <c r="G411" s="158"/>
      <c r="H411" s="158"/>
      <c r="I411" s="158"/>
    </row>
    <row r="412" spans="1:9" ht="19.2" thickBot="1">
      <c r="A412" s="1"/>
      <c r="B412" s="52"/>
      <c r="C412" s="47"/>
      <c r="D412" s="54"/>
      <c r="E412" s="45" t="s">
        <v>41</v>
      </c>
      <c r="F412" s="46">
        <f>SUM(F406:F411)</f>
        <v>9504.35484</v>
      </c>
      <c r="G412" s="158"/>
      <c r="H412" s="158"/>
      <c r="I412" s="158"/>
    </row>
    <row r="413" spans="1:9" ht="19.2" thickTop="1">
      <c r="A413" s="1"/>
      <c r="B413" s="52"/>
      <c r="C413" s="117"/>
      <c r="D413" s="121"/>
      <c r="E413" s="116"/>
      <c r="F413" s="119"/>
      <c r="G413" s="158"/>
      <c r="H413" s="158"/>
      <c r="I413" s="158"/>
    </row>
    <row r="414" spans="1:9" ht="19.2" thickBot="1">
      <c r="A414" s="1"/>
      <c r="B414" s="52"/>
      <c r="C414" s="117"/>
      <c r="D414" s="118"/>
      <c r="E414" s="116"/>
      <c r="F414" s="120"/>
      <c r="G414" s="158"/>
      <c r="H414" s="158"/>
      <c r="I414" s="158"/>
    </row>
    <row r="415" spans="1:9" ht="16.8" thickBot="1">
      <c r="A415" s="26"/>
      <c r="B415" s="36" t="s">
        <v>540</v>
      </c>
      <c r="C415" s="37"/>
      <c r="D415" s="37"/>
      <c r="E415" s="38"/>
      <c r="F415" s="39"/>
      <c r="G415" s="158"/>
      <c r="H415" s="158"/>
      <c r="I415" s="158"/>
    </row>
    <row r="416" spans="1:9" ht="18.600000000000001">
      <c r="A416" s="1"/>
      <c r="B416" s="52" t="s">
        <v>535</v>
      </c>
      <c r="C416" s="47"/>
      <c r="D416" s="54"/>
      <c r="E416" s="152"/>
      <c r="F416" s="20"/>
      <c r="G416" s="158"/>
      <c r="H416" s="158"/>
      <c r="I416" s="158"/>
    </row>
    <row r="417" spans="1:9" ht="18.600000000000001">
      <c r="A417" s="1"/>
      <c r="B417" s="52" t="s">
        <v>536</v>
      </c>
      <c r="C417" s="47">
        <v>1</v>
      </c>
      <c r="D417" s="54" t="s">
        <v>58</v>
      </c>
      <c r="E417" s="152">
        <f>4100.32*1.18</f>
        <v>4838.3775999999998</v>
      </c>
      <c r="F417" s="20">
        <f>C417*E417</f>
        <v>4838.3775999999998</v>
      </c>
      <c r="G417" s="158"/>
      <c r="H417" s="158"/>
      <c r="I417" s="158"/>
    </row>
    <row r="418" spans="1:9" ht="18.600000000000001">
      <c r="A418" s="1"/>
      <c r="B418" s="52" t="s">
        <v>375</v>
      </c>
      <c r="C418" s="47">
        <v>18</v>
      </c>
      <c r="D418" s="54" t="s">
        <v>58</v>
      </c>
      <c r="E418" s="152">
        <f>'insumos ELECT'!$E$214</f>
        <v>173.0942</v>
      </c>
      <c r="F418" s="20">
        <f>C418*E418</f>
        <v>3115.6956</v>
      </c>
      <c r="G418" s="158"/>
      <c r="H418" s="158"/>
      <c r="I418" s="158"/>
    </row>
    <row r="419" spans="1:9" ht="18.600000000000001">
      <c r="A419" s="1"/>
      <c r="B419" s="52" t="s">
        <v>537</v>
      </c>
      <c r="C419" s="47">
        <v>3</v>
      </c>
      <c r="D419" s="54" t="s">
        <v>58</v>
      </c>
      <c r="E419" s="152">
        <f>'insumos ELECT'!$E$215</f>
        <v>430.23507999999998</v>
      </c>
      <c r="F419" s="20">
        <f>C419*E419</f>
        <v>1290.70524</v>
      </c>
      <c r="G419" s="158"/>
      <c r="H419" s="158"/>
      <c r="I419" s="158"/>
    </row>
    <row r="420" spans="1:9" ht="18.600000000000001">
      <c r="A420" s="1"/>
      <c r="B420" s="52" t="s">
        <v>538</v>
      </c>
      <c r="C420" s="47">
        <v>1</v>
      </c>
      <c r="D420" s="54" t="s">
        <v>58</v>
      </c>
      <c r="E420" s="152">
        <f>'insumos ELECT'!$E$216</f>
        <v>489.31059999999997</v>
      </c>
      <c r="F420" s="20">
        <f>C420*E420</f>
        <v>489.31059999999997</v>
      </c>
      <c r="G420" s="158"/>
      <c r="H420" s="158"/>
      <c r="I420" s="158"/>
    </row>
    <row r="421" spans="1:9" ht="18.600000000000001">
      <c r="A421" s="1"/>
      <c r="B421" s="52" t="s">
        <v>539</v>
      </c>
      <c r="C421" s="47">
        <v>1</v>
      </c>
      <c r="D421" s="54" t="s">
        <v>58</v>
      </c>
      <c r="E421" s="152">
        <f>'insumos ELECT'!$E$217</f>
        <v>635.7367999999999</v>
      </c>
      <c r="F421" s="20">
        <f>C421*E421</f>
        <v>635.7367999999999</v>
      </c>
      <c r="G421" s="158"/>
      <c r="H421" s="158"/>
      <c r="I421" s="158"/>
    </row>
    <row r="422" spans="1:9" ht="19.2" thickBot="1">
      <c r="A422" s="1"/>
      <c r="B422" s="52"/>
      <c r="C422" s="47"/>
      <c r="D422" s="54"/>
      <c r="E422" s="45" t="s">
        <v>41</v>
      </c>
      <c r="F422" s="46">
        <f>SUM(F416:F421)</f>
        <v>10369.825840000001</v>
      </c>
      <c r="G422" s="158"/>
      <c r="H422" s="158"/>
      <c r="I422" s="158"/>
    </row>
    <row r="423" spans="1:9" ht="19.8" thickTop="1" thickBot="1">
      <c r="A423" s="1"/>
      <c r="B423" s="52"/>
      <c r="C423" s="117"/>
      <c r="D423" s="121"/>
      <c r="E423" s="116"/>
      <c r="F423" s="119"/>
      <c r="G423" s="158"/>
      <c r="H423" s="158"/>
      <c r="I423" s="158"/>
    </row>
    <row r="424" spans="1:9" ht="16.8" thickBot="1">
      <c r="A424" s="26"/>
      <c r="B424" s="36" t="s">
        <v>541</v>
      </c>
      <c r="C424" s="37"/>
      <c r="D424" s="37"/>
      <c r="E424" s="38"/>
      <c r="F424" s="39"/>
      <c r="G424" s="158"/>
      <c r="H424" s="158"/>
      <c r="I424" s="158"/>
    </row>
    <row r="425" spans="1:9" ht="18.600000000000001">
      <c r="A425" s="1"/>
      <c r="B425" s="52" t="s">
        <v>535</v>
      </c>
      <c r="C425" s="122"/>
      <c r="D425" s="123"/>
      <c r="E425" s="122"/>
      <c r="F425" s="120"/>
      <c r="G425" s="158"/>
      <c r="H425" s="158"/>
      <c r="I425" s="158"/>
    </row>
    <row r="426" spans="1:9" ht="18.600000000000001">
      <c r="A426" s="1"/>
      <c r="B426" s="52" t="s">
        <v>536</v>
      </c>
      <c r="C426" s="116">
        <v>1</v>
      </c>
      <c r="D426" s="117" t="s">
        <v>58</v>
      </c>
      <c r="E426" s="116">
        <f>4100.32*1.18</f>
        <v>4838.3775999999998</v>
      </c>
      <c r="F426" s="120">
        <f>C426*E426</f>
        <v>4838.3775999999998</v>
      </c>
      <c r="G426" s="158"/>
      <c r="H426" s="158"/>
      <c r="I426" s="158"/>
    </row>
    <row r="427" spans="1:9" ht="18.600000000000001">
      <c r="A427" s="1"/>
      <c r="B427" s="52" t="s">
        <v>375</v>
      </c>
      <c r="C427" s="117">
        <v>13</v>
      </c>
      <c r="D427" s="121" t="s">
        <v>58</v>
      </c>
      <c r="E427" s="152">
        <f>'insumos ELECT'!$E$214</f>
        <v>173.0942</v>
      </c>
      <c r="F427" s="120">
        <f>C427*E427</f>
        <v>2250.2246</v>
      </c>
      <c r="G427" s="158"/>
      <c r="H427" s="158"/>
      <c r="I427" s="158"/>
    </row>
    <row r="428" spans="1:9" ht="18.600000000000001">
      <c r="A428" s="1"/>
      <c r="B428" s="52" t="s">
        <v>537</v>
      </c>
      <c r="C428" s="117">
        <v>3</v>
      </c>
      <c r="D428" s="121" t="s">
        <v>58</v>
      </c>
      <c r="E428" s="152">
        <f>'insumos ELECT'!$E$215</f>
        <v>430.23507999999998</v>
      </c>
      <c r="F428" s="120">
        <f>C428*E428</f>
        <v>1290.70524</v>
      </c>
      <c r="G428" s="158"/>
      <c r="H428" s="158"/>
      <c r="I428" s="158"/>
    </row>
    <row r="429" spans="1:9" ht="18.600000000000001">
      <c r="A429" s="1"/>
      <c r="B429" s="52" t="s">
        <v>538</v>
      </c>
      <c r="C429" s="117">
        <v>1</v>
      </c>
      <c r="D429" s="121" t="s">
        <v>58</v>
      </c>
      <c r="E429" s="152">
        <f>'insumos ELECT'!$E$216</f>
        <v>489.31059999999997</v>
      </c>
      <c r="F429" s="120">
        <f>C429*E429</f>
        <v>489.31059999999997</v>
      </c>
      <c r="G429" s="158"/>
      <c r="H429" s="158"/>
      <c r="I429" s="158"/>
    </row>
    <row r="430" spans="1:9" ht="18.600000000000001">
      <c r="A430" s="1"/>
      <c r="B430" s="52" t="s">
        <v>539</v>
      </c>
      <c r="C430" s="117">
        <v>1</v>
      </c>
      <c r="D430" s="121" t="s">
        <v>58</v>
      </c>
      <c r="E430" s="152">
        <f>'insumos ELECT'!$E$217</f>
        <v>635.7367999999999</v>
      </c>
      <c r="F430" s="120">
        <f>C430*E430</f>
        <v>635.7367999999999</v>
      </c>
      <c r="G430" s="158"/>
      <c r="H430" s="158"/>
      <c r="I430" s="158"/>
    </row>
    <row r="431" spans="1:9" ht="19.2" thickBot="1">
      <c r="A431" s="1"/>
      <c r="B431" s="52"/>
      <c r="C431" s="47"/>
      <c r="D431" s="54"/>
      <c r="E431" s="45" t="s">
        <v>41</v>
      </c>
      <c r="F431" s="46">
        <f>SUM(F425:F430)</f>
        <v>9504.35484</v>
      </c>
      <c r="G431" s="158"/>
      <c r="H431" s="158"/>
      <c r="I431" s="158"/>
    </row>
    <row r="432" spans="1:9" ht="19.8" thickTop="1" thickBot="1">
      <c r="A432" s="1"/>
      <c r="B432" s="52"/>
      <c r="C432" s="117"/>
      <c r="D432" s="121"/>
      <c r="E432" s="116"/>
      <c r="F432" s="119"/>
      <c r="G432" s="158"/>
      <c r="H432" s="158"/>
      <c r="I432" s="158"/>
    </row>
    <row r="433" spans="1:9" ht="16.8" thickBot="1">
      <c r="A433" s="26"/>
      <c r="B433" s="36" t="s">
        <v>542</v>
      </c>
      <c r="C433" s="37"/>
      <c r="D433" s="37"/>
      <c r="E433" s="38"/>
      <c r="F433" s="39"/>
      <c r="G433" s="158"/>
      <c r="H433" s="158"/>
      <c r="I433" s="158"/>
    </row>
    <row r="434" spans="1:9" ht="18.600000000000001">
      <c r="A434" s="1"/>
      <c r="B434" s="52" t="s">
        <v>535</v>
      </c>
      <c r="C434" s="122"/>
      <c r="D434" s="123"/>
      <c r="E434" s="122"/>
      <c r="F434" s="120"/>
      <c r="G434" s="158"/>
      <c r="H434" s="158"/>
      <c r="I434" s="158"/>
    </row>
    <row r="435" spans="1:9" ht="18.600000000000001">
      <c r="A435" s="1"/>
      <c r="B435" s="52" t="s">
        <v>536</v>
      </c>
      <c r="C435" s="116">
        <v>1</v>
      </c>
      <c r="D435" s="117" t="s">
        <v>58</v>
      </c>
      <c r="E435" s="116">
        <f>4100.32*1.18</f>
        <v>4838.3775999999998</v>
      </c>
      <c r="F435" s="120">
        <f>C435*E435</f>
        <v>4838.3775999999998</v>
      </c>
      <c r="G435" s="158"/>
      <c r="H435" s="158"/>
      <c r="I435" s="158"/>
    </row>
    <row r="436" spans="1:9" ht="18.600000000000001">
      <c r="A436" s="1"/>
      <c r="B436" s="52" t="s">
        <v>375</v>
      </c>
      <c r="C436" s="117">
        <v>17</v>
      </c>
      <c r="D436" s="121" t="s">
        <v>58</v>
      </c>
      <c r="E436" s="152">
        <f>'insumos ELECT'!$E$214</f>
        <v>173.0942</v>
      </c>
      <c r="F436" s="120">
        <f>C436*E436</f>
        <v>2942.6014</v>
      </c>
      <c r="G436" s="158"/>
      <c r="H436" s="158"/>
      <c r="I436" s="158"/>
    </row>
    <row r="437" spans="1:9" ht="18.600000000000001">
      <c r="A437" s="1"/>
      <c r="B437" s="52" t="s">
        <v>537</v>
      </c>
      <c r="C437" s="117">
        <v>4</v>
      </c>
      <c r="D437" s="121" t="s">
        <v>58</v>
      </c>
      <c r="E437" s="152">
        <f>'insumos ELECT'!$E$215</f>
        <v>430.23507999999998</v>
      </c>
      <c r="F437" s="120">
        <f>C437*E437</f>
        <v>1720.9403199999999</v>
      </c>
      <c r="G437" s="158"/>
      <c r="H437" s="158"/>
      <c r="I437" s="158"/>
    </row>
    <row r="438" spans="1:9" ht="18.600000000000001">
      <c r="A438" s="1"/>
      <c r="B438" s="52" t="s">
        <v>538</v>
      </c>
      <c r="C438" s="117">
        <v>1</v>
      </c>
      <c r="D438" s="121" t="s">
        <v>58</v>
      </c>
      <c r="E438" s="152">
        <f>'insumos ELECT'!$E$216</f>
        <v>489.31059999999997</v>
      </c>
      <c r="F438" s="120">
        <f>C438*E438</f>
        <v>489.31059999999997</v>
      </c>
      <c r="G438" s="158"/>
      <c r="H438" s="158"/>
      <c r="I438" s="158"/>
    </row>
    <row r="439" spans="1:9" ht="18.600000000000001">
      <c r="A439" s="1"/>
      <c r="B439" s="52" t="s">
        <v>539</v>
      </c>
      <c r="C439" s="117">
        <v>1</v>
      </c>
      <c r="D439" s="121" t="s">
        <v>58</v>
      </c>
      <c r="E439" s="152">
        <f>'insumos ELECT'!$E$217</f>
        <v>635.7367999999999</v>
      </c>
      <c r="F439" s="120">
        <f>C439*E439</f>
        <v>635.7367999999999</v>
      </c>
      <c r="G439" s="158"/>
      <c r="H439" s="158"/>
      <c r="I439" s="158"/>
    </row>
    <row r="440" spans="1:9" ht="19.2" thickBot="1">
      <c r="A440" s="1"/>
      <c r="B440" s="52"/>
      <c r="C440" s="47"/>
      <c r="D440" s="54"/>
      <c r="E440" s="45" t="s">
        <v>41</v>
      </c>
      <c r="F440" s="46">
        <f>SUM(F434:F439)</f>
        <v>10626.96672</v>
      </c>
      <c r="G440" s="158"/>
      <c r="H440" s="158"/>
      <c r="I440" s="158"/>
    </row>
    <row r="441" spans="1:9" ht="19.8" thickTop="1" thickBot="1">
      <c r="A441" s="1"/>
      <c r="B441" s="52"/>
      <c r="C441" s="117"/>
      <c r="D441" s="121"/>
      <c r="E441" s="116"/>
      <c r="F441" s="119"/>
      <c r="G441" s="158"/>
      <c r="H441" s="158"/>
      <c r="I441" s="158"/>
    </row>
    <row r="442" spans="1:9" ht="16.8" thickBot="1">
      <c r="A442" s="26"/>
      <c r="B442" s="36" t="s">
        <v>543</v>
      </c>
      <c r="C442" s="37"/>
      <c r="D442" s="37"/>
      <c r="E442" s="38"/>
      <c r="F442" s="39"/>
      <c r="G442" s="158"/>
      <c r="H442" s="158"/>
      <c r="I442" s="158"/>
    </row>
    <row r="443" spans="1:9" ht="18.600000000000001">
      <c r="A443" s="1"/>
      <c r="B443" s="52" t="s">
        <v>535</v>
      </c>
      <c r="C443" s="116"/>
      <c r="D443" s="117"/>
      <c r="E443" s="116"/>
      <c r="F443" s="120"/>
      <c r="G443" s="158"/>
      <c r="H443" s="158"/>
      <c r="I443" s="158"/>
    </row>
    <row r="444" spans="1:9" ht="18.600000000000001">
      <c r="A444" s="1"/>
      <c r="B444" s="52" t="s">
        <v>544</v>
      </c>
      <c r="C444" s="116">
        <v>1</v>
      </c>
      <c r="D444" s="117" t="s">
        <v>58</v>
      </c>
      <c r="E444" s="116">
        <f>7800*1.18</f>
        <v>9204</v>
      </c>
      <c r="F444" s="120">
        <f>C444*E444</f>
        <v>9204</v>
      </c>
      <c r="G444" s="158"/>
      <c r="H444" s="158"/>
      <c r="I444" s="158"/>
    </row>
    <row r="445" spans="1:9" ht="18.600000000000001">
      <c r="A445" s="1"/>
      <c r="B445" s="52" t="s">
        <v>375</v>
      </c>
      <c r="C445" s="116">
        <v>18</v>
      </c>
      <c r="D445" s="117" t="s">
        <v>58</v>
      </c>
      <c r="E445" s="152">
        <f>'insumos ELECT'!$E$214</f>
        <v>173.0942</v>
      </c>
      <c r="F445" s="120">
        <f>C445*E445</f>
        <v>3115.6956</v>
      </c>
      <c r="G445" s="158"/>
      <c r="H445" s="158"/>
      <c r="I445" s="158"/>
    </row>
    <row r="446" spans="1:9" ht="18.600000000000001">
      <c r="A446" s="1"/>
      <c r="B446" s="52" t="s">
        <v>537</v>
      </c>
      <c r="C446" s="116">
        <v>2</v>
      </c>
      <c r="D446" s="117" t="s">
        <v>58</v>
      </c>
      <c r="E446" s="152">
        <f>'insumos ELECT'!$E$215</f>
        <v>430.23507999999998</v>
      </c>
      <c r="F446" s="120">
        <f>C446*E446</f>
        <v>860.47015999999996</v>
      </c>
      <c r="G446" s="158"/>
      <c r="H446" s="158"/>
      <c r="I446" s="158"/>
    </row>
    <row r="447" spans="1:9" ht="19.2" thickBot="1">
      <c r="A447" s="1"/>
      <c r="B447" s="52"/>
      <c r="C447" s="47"/>
      <c r="D447" s="54"/>
      <c r="E447" s="45" t="s">
        <v>41</v>
      </c>
      <c r="F447" s="46">
        <f>SUM(F442:F446)</f>
        <v>13180.16576</v>
      </c>
      <c r="G447" s="158"/>
      <c r="H447" s="158"/>
      <c r="I447" s="158"/>
    </row>
    <row r="448" spans="1:9" ht="19.8" thickTop="1" thickBot="1">
      <c r="A448" s="1"/>
      <c r="B448" s="52"/>
      <c r="C448" s="47"/>
      <c r="D448" s="54"/>
      <c r="E448" s="50"/>
      <c r="F448" s="51"/>
      <c r="G448" s="158"/>
      <c r="H448" s="158"/>
      <c r="I448" s="158"/>
    </row>
    <row r="449" spans="1:9" ht="16.8" thickBot="1">
      <c r="A449" s="26"/>
      <c r="B449" s="36" t="s">
        <v>545</v>
      </c>
      <c r="C449" s="37"/>
      <c r="D449" s="37"/>
      <c r="E449" s="38"/>
      <c r="F449" s="39"/>
      <c r="G449" s="158"/>
      <c r="H449" s="158"/>
      <c r="I449" s="158"/>
    </row>
    <row r="450" spans="1:9" ht="18.600000000000001">
      <c r="A450" s="1"/>
      <c r="B450" s="52" t="s">
        <v>546</v>
      </c>
      <c r="C450" s="116"/>
      <c r="D450" s="117"/>
      <c r="E450" s="116"/>
      <c r="F450" s="120"/>
      <c r="G450" s="158"/>
      <c r="H450" s="158"/>
      <c r="I450" s="158"/>
    </row>
    <row r="451" spans="1:9" ht="18.600000000000001">
      <c r="A451" s="1"/>
      <c r="B451" s="52" t="s">
        <v>547</v>
      </c>
      <c r="C451" s="116">
        <v>1</v>
      </c>
      <c r="D451" s="117" t="s">
        <v>58</v>
      </c>
      <c r="E451" s="116">
        <f>10300*1.18</f>
        <v>12154</v>
      </c>
      <c r="F451" s="120">
        <f>C451*E451</f>
        <v>12154</v>
      </c>
      <c r="G451" s="158"/>
      <c r="H451" s="158"/>
      <c r="I451" s="158"/>
    </row>
    <row r="452" spans="1:9" ht="18.600000000000001">
      <c r="A452" s="1"/>
      <c r="B452" s="52" t="s">
        <v>375</v>
      </c>
      <c r="C452" s="116">
        <v>29</v>
      </c>
      <c r="D452" s="117" t="s">
        <v>58</v>
      </c>
      <c r="E452" s="152">
        <f>'insumos ELECT'!$E$214</f>
        <v>173.0942</v>
      </c>
      <c r="F452" s="120">
        <f>C452*E452</f>
        <v>5019.7317999999996</v>
      </c>
      <c r="G452" s="158"/>
      <c r="H452" s="158"/>
      <c r="I452" s="158"/>
    </row>
    <row r="453" spans="1:9" ht="18.600000000000001">
      <c r="A453" s="1"/>
      <c r="B453" s="52" t="s">
        <v>548</v>
      </c>
      <c r="C453" s="116">
        <v>4</v>
      </c>
      <c r="D453" s="117" t="s">
        <v>58</v>
      </c>
      <c r="E453" s="152">
        <f>'insumos ELECT'!$E$214</f>
        <v>173.0942</v>
      </c>
      <c r="F453" s="120">
        <f>C453*E453</f>
        <v>692.3768</v>
      </c>
      <c r="G453" s="158"/>
      <c r="H453" s="158"/>
      <c r="I453" s="158"/>
    </row>
    <row r="454" spans="1:9" ht="18.600000000000001">
      <c r="A454" s="1"/>
      <c r="B454" s="52" t="s">
        <v>549</v>
      </c>
      <c r="C454" s="116">
        <v>2</v>
      </c>
      <c r="D454" s="117" t="s">
        <v>58</v>
      </c>
      <c r="E454" s="116">
        <f>'insumos ELECT'!E218</f>
        <v>196.529</v>
      </c>
      <c r="F454" s="120">
        <f>C454*E454</f>
        <v>393.05799999999999</v>
      </c>
      <c r="G454" s="158"/>
      <c r="H454" s="158"/>
      <c r="I454" s="158"/>
    </row>
    <row r="455" spans="1:9" ht="19.2" thickBot="1">
      <c r="A455" s="1"/>
      <c r="B455" s="52"/>
      <c r="C455" s="47"/>
      <c r="D455" s="54"/>
      <c r="E455" s="45" t="s">
        <v>41</v>
      </c>
      <c r="F455" s="46">
        <f>SUM(F449:F454)</f>
        <v>18259.1666</v>
      </c>
      <c r="G455" s="158"/>
      <c r="H455" s="158"/>
      <c r="I455" s="158"/>
    </row>
    <row r="456" spans="1:9" ht="19.8" thickTop="1" thickBot="1">
      <c r="A456" s="1"/>
      <c r="B456" s="52"/>
      <c r="C456" s="47"/>
      <c r="D456" s="54"/>
      <c r="E456" s="50"/>
      <c r="F456" s="51"/>
      <c r="G456" s="158"/>
      <c r="H456" s="158"/>
      <c r="I456" s="158"/>
    </row>
    <row r="457" spans="1:9" ht="16.8" thickBot="1">
      <c r="A457" s="26"/>
      <c r="B457" s="457" t="s">
        <v>550</v>
      </c>
      <c r="C457" s="458"/>
      <c r="D457" s="458"/>
      <c r="E457" s="458"/>
      <c r="F457" s="458"/>
      <c r="G457" s="158"/>
      <c r="H457" s="158"/>
      <c r="I457" s="158"/>
    </row>
    <row r="458" spans="1:9" ht="18.600000000000001">
      <c r="A458" s="1"/>
      <c r="B458" s="52" t="s">
        <v>551</v>
      </c>
      <c r="C458" s="116"/>
      <c r="D458" s="117"/>
      <c r="E458" s="116"/>
      <c r="F458" s="120"/>
      <c r="G458" s="158"/>
      <c r="H458" s="158"/>
      <c r="I458" s="158"/>
    </row>
    <row r="459" spans="1:9" ht="18.600000000000001">
      <c r="A459" s="1"/>
      <c r="B459" s="52" t="s">
        <v>552</v>
      </c>
      <c r="C459" s="116">
        <v>1</v>
      </c>
      <c r="D459" s="117" t="s">
        <v>58</v>
      </c>
      <c r="E459" s="116">
        <f>3816.09*1.18</f>
        <v>4502.9862000000003</v>
      </c>
      <c r="F459" s="120">
        <f>C459*E459</f>
        <v>4502.9862000000003</v>
      </c>
      <c r="G459" s="158"/>
      <c r="H459" s="158"/>
      <c r="I459" s="158"/>
    </row>
    <row r="460" spans="1:9" ht="18.600000000000001">
      <c r="A460" s="1"/>
      <c r="B460" s="52" t="s">
        <v>375</v>
      </c>
      <c r="C460" s="116">
        <v>12</v>
      </c>
      <c r="D460" s="117" t="s">
        <v>58</v>
      </c>
      <c r="E460" s="152">
        <f>'insumos ELECT'!$E$214</f>
        <v>173.0942</v>
      </c>
      <c r="F460" s="120">
        <f>C460*E460</f>
        <v>2077.1304</v>
      </c>
      <c r="G460" s="158"/>
      <c r="H460" s="158"/>
      <c r="I460" s="158"/>
    </row>
    <row r="461" spans="1:9" ht="19.2" thickBot="1">
      <c r="A461" s="1"/>
      <c r="B461" s="52"/>
      <c r="C461" s="47"/>
      <c r="D461" s="54"/>
      <c r="E461" s="45" t="s">
        <v>41</v>
      </c>
      <c r="F461" s="46">
        <f>SUM(F457:F460)</f>
        <v>6580.1166000000003</v>
      </c>
      <c r="G461" s="158"/>
      <c r="H461" s="158"/>
      <c r="I461" s="158"/>
    </row>
    <row r="462" spans="1:9" ht="19.8" thickTop="1" thickBot="1">
      <c r="A462" s="1"/>
      <c r="B462" s="58"/>
      <c r="C462" s="58"/>
      <c r="D462" s="58"/>
      <c r="E462" s="58"/>
      <c r="F462" s="58"/>
      <c r="G462" s="158"/>
      <c r="H462" s="158"/>
      <c r="I462" s="158"/>
    </row>
    <row r="463" spans="1:9" ht="16.8" thickBot="1">
      <c r="A463" s="26"/>
      <c r="B463" s="459" t="s">
        <v>553</v>
      </c>
      <c r="C463" s="460"/>
      <c r="D463" s="460"/>
      <c r="E463" s="460"/>
      <c r="F463" s="460"/>
      <c r="G463" s="158"/>
      <c r="H463" s="158"/>
      <c r="I463" s="158"/>
    </row>
    <row r="464" spans="1:9" ht="18.600000000000001">
      <c r="A464" s="1"/>
      <c r="B464" s="52" t="s">
        <v>554</v>
      </c>
      <c r="C464" s="116">
        <v>2</v>
      </c>
      <c r="D464" s="117" t="s">
        <v>58</v>
      </c>
      <c r="E464" s="116">
        <f>'insumos ELECT'!E147</f>
        <v>135.72</v>
      </c>
      <c r="F464" s="120">
        <f t="shared" ref="F464:F467" si="25">E464*C464</f>
        <v>271.44</v>
      </c>
      <c r="G464" s="158"/>
      <c r="H464" s="158"/>
      <c r="I464" s="158"/>
    </row>
    <row r="465" spans="1:9" ht="18.600000000000001">
      <c r="A465" s="1"/>
      <c r="B465" s="52" t="s">
        <v>555</v>
      </c>
      <c r="C465" s="116">
        <v>202</v>
      </c>
      <c r="D465" s="117" t="s">
        <v>47</v>
      </c>
      <c r="E465" s="116">
        <f>'insumos ELECT'!E146/10</f>
        <v>52.2</v>
      </c>
      <c r="F465" s="120">
        <f t="shared" si="25"/>
        <v>10544.400000000001</v>
      </c>
      <c r="G465" s="158"/>
      <c r="H465" s="158"/>
      <c r="I465" s="158"/>
    </row>
    <row r="466" spans="1:9" ht="18.600000000000001">
      <c r="A466" s="1"/>
      <c r="B466" s="52" t="s">
        <v>556</v>
      </c>
      <c r="C466" s="116">
        <v>2</v>
      </c>
      <c r="D466" s="117" t="s">
        <v>58</v>
      </c>
      <c r="E466" s="116">
        <f>'insumos ELECT'!E149</f>
        <v>55.679999999999993</v>
      </c>
      <c r="F466" s="120">
        <f t="shared" si="25"/>
        <v>111.35999999999999</v>
      </c>
      <c r="G466" s="158"/>
      <c r="H466" s="158"/>
      <c r="I466" s="158"/>
    </row>
    <row r="467" spans="1:9" ht="18.600000000000001">
      <c r="A467" s="1"/>
      <c r="B467" s="52" t="s">
        <v>557</v>
      </c>
      <c r="C467" s="116">
        <v>1</v>
      </c>
      <c r="D467" s="117" t="s">
        <v>58</v>
      </c>
      <c r="E467" s="116">
        <f>560.55*1.18</f>
        <v>661.44899999999996</v>
      </c>
      <c r="F467" s="120">
        <f t="shared" si="25"/>
        <v>661.44899999999996</v>
      </c>
      <c r="G467" s="158"/>
      <c r="H467" s="158"/>
      <c r="I467" s="158"/>
    </row>
    <row r="468" spans="1:9" ht="18.600000000000001">
      <c r="A468" s="1"/>
      <c r="B468" s="52" t="s">
        <v>558</v>
      </c>
      <c r="C468" s="116">
        <v>40.666666666666664</v>
      </c>
      <c r="D468" s="117" t="s">
        <v>58</v>
      </c>
      <c r="E468" s="116">
        <f>37.09*1.18</f>
        <v>43.766200000000005</v>
      </c>
      <c r="F468" s="120">
        <f>E468*C468</f>
        <v>1779.8254666666667</v>
      </c>
      <c r="G468" s="158"/>
      <c r="H468" s="158"/>
      <c r="I468" s="158"/>
    </row>
    <row r="469" spans="1:9" ht="18.600000000000001">
      <c r="A469" s="1"/>
      <c r="B469" s="52" t="s">
        <v>381</v>
      </c>
      <c r="C469" s="116">
        <v>407</v>
      </c>
      <c r="D469" s="117" t="s">
        <v>47</v>
      </c>
      <c r="E469" s="116">
        <f>'insumos ELECT'!E24</f>
        <v>91.202200000000005</v>
      </c>
      <c r="F469" s="120">
        <f t="shared" ref="F469:F473" si="26">E469*C469</f>
        <v>37119.295400000003</v>
      </c>
      <c r="G469" s="158"/>
      <c r="H469" s="158"/>
      <c r="I469" s="158"/>
    </row>
    <row r="470" spans="1:9" ht="18.600000000000001">
      <c r="A470" s="1"/>
      <c r="B470" s="52" t="s">
        <v>559</v>
      </c>
      <c r="C470" s="116">
        <v>203.5</v>
      </c>
      <c r="D470" s="117" t="s">
        <v>47</v>
      </c>
      <c r="E470" s="116">
        <f>'insumos ELECT'!E25</f>
        <v>36.344000000000001</v>
      </c>
      <c r="F470" s="120">
        <f t="shared" si="26"/>
        <v>7396.0039999999999</v>
      </c>
      <c r="G470" s="158"/>
      <c r="H470" s="158"/>
      <c r="I470" s="158"/>
    </row>
    <row r="471" spans="1:9" ht="18.600000000000001">
      <c r="A471" s="1"/>
      <c r="B471" s="52" t="s">
        <v>376</v>
      </c>
      <c r="C471" s="116">
        <v>203.5</v>
      </c>
      <c r="D471" s="117" t="s">
        <v>47</v>
      </c>
      <c r="E471" s="116">
        <f>'insumos ELECT'!E26</f>
        <v>23.080799999999996</v>
      </c>
      <c r="F471" s="120">
        <f t="shared" si="26"/>
        <v>4696.9427999999989</v>
      </c>
      <c r="G471" s="158"/>
      <c r="H471" s="158"/>
      <c r="I471" s="158"/>
    </row>
    <row r="472" spans="1:9" ht="18.600000000000001">
      <c r="A472" s="1"/>
      <c r="B472" s="52" t="s">
        <v>377</v>
      </c>
      <c r="C472" s="116">
        <v>0</v>
      </c>
      <c r="D472" s="117" t="s">
        <v>58</v>
      </c>
      <c r="E472" s="116">
        <f>13.49*1.18</f>
        <v>15.918199999999999</v>
      </c>
      <c r="F472" s="120">
        <f t="shared" si="26"/>
        <v>0</v>
      </c>
      <c r="G472" s="158"/>
      <c r="H472" s="158"/>
      <c r="I472" s="158"/>
    </row>
    <row r="473" spans="1:9" ht="18.600000000000001">
      <c r="A473" s="1"/>
      <c r="B473" s="52" t="s">
        <v>378</v>
      </c>
      <c r="C473" s="116">
        <v>2</v>
      </c>
      <c r="D473" s="117" t="s">
        <v>58</v>
      </c>
      <c r="E473" s="116">
        <f>18.92*1.18</f>
        <v>22.325600000000001</v>
      </c>
      <c r="F473" s="120">
        <f t="shared" si="26"/>
        <v>44.651200000000003</v>
      </c>
      <c r="G473" s="158"/>
      <c r="H473" s="158"/>
      <c r="I473" s="158"/>
    </row>
    <row r="474" spans="1:9" ht="18.600000000000001">
      <c r="A474" s="1"/>
      <c r="B474" s="52" t="s">
        <v>374</v>
      </c>
      <c r="C474" s="116">
        <v>5</v>
      </c>
      <c r="D474" s="117" t="s">
        <v>1</v>
      </c>
      <c r="E474" s="116">
        <f>120*1.18</f>
        <v>141.6</v>
      </c>
      <c r="F474" s="120">
        <f>E474*C474</f>
        <v>708</v>
      </c>
      <c r="G474" s="158"/>
      <c r="H474" s="158"/>
      <c r="I474" s="158"/>
    </row>
    <row r="475" spans="1:9" ht="18.600000000000001">
      <c r="A475" s="1"/>
      <c r="B475" s="52" t="s">
        <v>379</v>
      </c>
      <c r="C475" s="116">
        <v>5.0000000000000001E-3</v>
      </c>
      <c r="D475" s="117" t="s">
        <v>275</v>
      </c>
      <c r="E475" s="116">
        <f>SUM(F462:F474)</f>
        <v>63333.367866666667</v>
      </c>
      <c r="F475" s="124"/>
      <c r="G475" s="158"/>
      <c r="H475" s="158"/>
      <c r="I475" s="158"/>
    </row>
    <row r="476" spans="1:9" ht="19.2" thickBot="1">
      <c r="A476" s="1"/>
      <c r="B476" s="52"/>
      <c r="C476" s="47"/>
      <c r="D476" s="54"/>
      <c r="E476" s="45" t="s">
        <v>380</v>
      </c>
      <c r="F476" s="46">
        <f>SUM(F464:F475)/202</f>
        <v>313.53152409240926</v>
      </c>
      <c r="G476" s="158"/>
      <c r="H476" s="158"/>
      <c r="I476" s="158"/>
    </row>
    <row r="477" spans="1:9" ht="19.2" thickTop="1">
      <c r="A477" s="1"/>
      <c r="B477" s="58"/>
      <c r="C477" s="58"/>
      <c r="D477" s="58"/>
      <c r="E477" s="58"/>
      <c r="F477" s="58"/>
      <c r="G477" s="158"/>
      <c r="H477" s="158"/>
      <c r="I477" s="158"/>
    </row>
    <row r="478" spans="1:9">
      <c r="B478" s="236"/>
      <c r="C478" s="236"/>
      <c r="D478" s="236"/>
      <c r="E478" s="236"/>
      <c r="F478" s="236"/>
    </row>
    <row r="479" spans="1:9">
      <c r="B479" s="236"/>
      <c r="C479" s="236"/>
      <c r="D479" s="236"/>
      <c r="E479" s="236"/>
      <c r="F479" s="236"/>
    </row>
  </sheetData>
  <mergeCells count="3">
    <mergeCell ref="A2:F2"/>
    <mergeCell ref="B457:F457"/>
    <mergeCell ref="B463:F46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7"/>
  <sheetViews>
    <sheetView view="pageBreakPreview" zoomScaleNormal="100" workbookViewId="0">
      <selection activeCell="A2" sqref="A2"/>
    </sheetView>
  </sheetViews>
  <sheetFormatPr defaultColWidth="11.44140625" defaultRowHeight="13.2"/>
  <cols>
    <col min="1" max="1" width="21.6640625" style="187" customWidth="1"/>
    <col min="2" max="2" width="20.44140625" style="187" customWidth="1"/>
    <col min="3" max="3" width="10.109375" style="187" customWidth="1"/>
    <col min="4" max="4" width="15.109375" style="187" customWidth="1"/>
    <col min="5" max="5" width="15.33203125" style="187" customWidth="1"/>
    <col min="6" max="6" width="18.5546875" style="187" customWidth="1"/>
    <col min="7" max="7" width="16.44140625" style="187" customWidth="1"/>
    <col min="8" max="8" width="14" style="187" customWidth="1"/>
    <col min="9" max="16384" width="11.44140625" style="187"/>
  </cols>
  <sheetData>
    <row r="1" spans="1:12">
      <c r="A1" s="254"/>
      <c r="B1" s="255"/>
      <c r="C1" s="255"/>
      <c r="D1" s="255"/>
      <c r="E1" s="255"/>
      <c r="F1" s="255"/>
      <c r="G1" s="255"/>
      <c r="H1" s="256"/>
    </row>
    <row r="2" spans="1:12" customFormat="1" ht="57.75" customHeight="1" thickBot="1">
      <c r="A2" s="239"/>
      <c r="B2" s="296"/>
      <c r="C2" s="297"/>
      <c r="D2" s="297"/>
      <c r="E2" s="297"/>
      <c r="F2" s="297"/>
      <c r="G2" s="297"/>
      <c r="H2" s="298"/>
      <c r="I2" s="237"/>
      <c r="J2" s="237"/>
    </row>
    <row r="3" spans="1:12" ht="15" customHeight="1" thickBot="1">
      <c r="A3" s="461" t="s">
        <v>560</v>
      </c>
      <c r="B3" s="452"/>
      <c r="C3" s="452"/>
      <c r="D3" s="452"/>
      <c r="E3" s="452"/>
      <c r="F3" s="452"/>
      <c r="G3" s="452"/>
      <c r="H3" s="454"/>
    </row>
    <row r="4" spans="1:12" ht="16.8" thickBot="1">
      <c r="A4" s="227"/>
      <c r="B4" s="190" t="s">
        <v>1050</v>
      </c>
      <c r="C4" s="191"/>
      <c r="D4" s="190"/>
      <c r="E4" s="190"/>
      <c r="F4" s="126"/>
      <c r="G4" s="228"/>
      <c r="H4" s="229"/>
    </row>
    <row r="5" spans="1:12" ht="16.8" thickBot="1">
      <c r="A5" s="230"/>
      <c r="B5" s="231" t="s">
        <v>1102</v>
      </c>
      <c r="C5" s="232"/>
      <c r="D5" s="231"/>
      <c r="E5" s="231"/>
      <c r="F5" s="231"/>
      <c r="G5" s="231"/>
      <c r="H5" s="233"/>
    </row>
    <row r="6" spans="1:12" ht="38.4" thickBot="1">
      <c r="A6" s="220" t="s">
        <v>112</v>
      </c>
      <c r="B6" s="220" t="s">
        <v>1049</v>
      </c>
      <c r="C6" s="220" t="s">
        <v>1048</v>
      </c>
      <c r="D6" s="220" t="s">
        <v>1047</v>
      </c>
      <c r="E6" s="220" t="s">
        <v>1101</v>
      </c>
      <c r="F6" s="220" t="s">
        <v>1100</v>
      </c>
      <c r="G6" s="220" t="s">
        <v>1046</v>
      </c>
      <c r="H6" s="220" t="s">
        <v>1045</v>
      </c>
    </row>
    <row r="7" spans="1:12" ht="16.8" thickBot="1">
      <c r="A7" s="221" t="s">
        <v>1099</v>
      </c>
      <c r="B7" s="193" t="s">
        <v>1098</v>
      </c>
      <c r="C7" s="193">
        <v>460</v>
      </c>
      <c r="D7" s="194">
        <v>6050</v>
      </c>
      <c r="E7" s="194">
        <f>D7*J7</f>
        <v>7139</v>
      </c>
      <c r="F7" s="194">
        <f>0.04*C7*J8</f>
        <v>3803.28</v>
      </c>
      <c r="G7" s="194">
        <f t="shared" ref="G7:G25" si="0">0.2*F7</f>
        <v>760.65600000000006</v>
      </c>
      <c r="H7" s="194">
        <f t="shared" ref="H7:H25" si="1">E7+F7+G7</f>
        <v>11702.936000000002</v>
      </c>
      <c r="J7" s="188">
        <v>1.18</v>
      </c>
      <c r="K7" s="188" t="s">
        <v>1097</v>
      </c>
      <c r="L7" s="188"/>
    </row>
    <row r="8" spans="1:12" ht="16.2">
      <c r="A8" s="195"/>
      <c r="B8" s="193" t="s">
        <v>1096</v>
      </c>
      <c r="C8" s="193">
        <v>410</v>
      </c>
      <c r="D8" s="194">
        <v>4294.82</v>
      </c>
      <c r="E8" s="194">
        <f>D8*J7</f>
        <v>5067.8875999999991</v>
      </c>
      <c r="F8" s="194">
        <f>0.04*C8*J8</f>
        <v>3389.8799999999997</v>
      </c>
      <c r="G8" s="194">
        <f t="shared" si="0"/>
        <v>677.976</v>
      </c>
      <c r="H8" s="194">
        <f t="shared" si="1"/>
        <v>9135.7435999999998</v>
      </c>
      <c r="J8" s="189">
        <v>206.7</v>
      </c>
      <c r="K8" s="188" t="s">
        <v>1095</v>
      </c>
      <c r="L8" s="188"/>
    </row>
    <row r="9" spans="1:12" ht="16.2">
      <c r="A9" s="195"/>
      <c r="B9" s="193" t="s">
        <v>1094</v>
      </c>
      <c r="C9" s="193">
        <v>310</v>
      </c>
      <c r="D9" s="194">
        <v>5500</v>
      </c>
      <c r="E9" s="194">
        <f>D9*J7</f>
        <v>6490</v>
      </c>
      <c r="F9" s="194">
        <f>0.04*C9*J8</f>
        <v>2563.08</v>
      </c>
      <c r="G9" s="194">
        <f t="shared" si="0"/>
        <v>512.61599999999999</v>
      </c>
      <c r="H9" s="194">
        <f t="shared" si="1"/>
        <v>9565.6959999999999</v>
      </c>
      <c r="J9" s="188"/>
      <c r="K9" s="188"/>
      <c r="L9" s="188"/>
    </row>
    <row r="10" spans="1:12" ht="16.2">
      <c r="A10" s="195"/>
      <c r="B10" s="193" t="s">
        <v>1093</v>
      </c>
      <c r="C10" s="193">
        <v>335</v>
      </c>
      <c r="D10" s="194">
        <v>3630.52</v>
      </c>
      <c r="E10" s="194">
        <f>D10*J7</f>
        <v>4284.0135999999993</v>
      </c>
      <c r="F10" s="194">
        <f>0.04*C10*J8</f>
        <v>2769.7799999999997</v>
      </c>
      <c r="G10" s="194">
        <f t="shared" si="0"/>
        <v>553.95600000000002</v>
      </c>
      <c r="H10" s="194">
        <f t="shared" si="1"/>
        <v>7607.7495999999992</v>
      </c>
    </row>
    <row r="11" spans="1:12" ht="16.8" thickBot="1">
      <c r="A11" s="195"/>
      <c r="B11" s="193" t="s">
        <v>1092</v>
      </c>
      <c r="C11" s="193">
        <v>320</v>
      </c>
      <c r="D11" s="194">
        <v>3460.58</v>
      </c>
      <c r="E11" s="194">
        <f>D11*J7</f>
        <v>4083.4843999999998</v>
      </c>
      <c r="F11" s="194">
        <f>0.04*C11*J8</f>
        <v>2645.76</v>
      </c>
      <c r="G11" s="194">
        <f t="shared" si="0"/>
        <v>529.15200000000004</v>
      </c>
      <c r="H11" s="194">
        <f t="shared" si="1"/>
        <v>7258.3963999999996</v>
      </c>
    </row>
    <row r="12" spans="1:12" s="225" customFormat="1" ht="16.2">
      <c r="A12" s="223"/>
      <c r="B12" s="224" t="s">
        <v>1091</v>
      </c>
      <c r="C12" s="224">
        <v>300</v>
      </c>
      <c r="D12" s="224">
        <v>3352.43</v>
      </c>
      <c r="E12" s="224">
        <f>D12*J7</f>
        <v>3955.8673999999996</v>
      </c>
      <c r="F12" s="224">
        <f>0.04*C12*J8</f>
        <v>2480.3999999999996</v>
      </c>
      <c r="G12" s="224">
        <f t="shared" si="0"/>
        <v>496.07999999999993</v>
      </c>
      <c r="H12" s="224">
        <f t="shared" si="1"/>
        <v>6932.3473999999987</v>
      </c>
    </row>
    <row r="13" spans="1:12" ht="16.2">
      <c r="A13" s="195"/>
      <c r="B13" s="193" t="s">
        <v>1090</v>
      </c>
      <c r="C13" s="193">
        <v>270</v>
      </c>
      <c r="D13" s="194">
        <v>2935.31</v>
      </c>
      <c r="E13" s="194">
        <f>D13*J7</f>
        <v>3463.6657999999998</v>
      </c>
      <c r="F13" s="194">
        <f>0.04*C13*J8</f>
        <v>2232.36</v>
      </c>
      <c r="G13" s="194">
        <f t="shared" si="0"/>
        <v>446.47200000000004</v>
      </c>
      <c r="H13" s="194">
        <f t="shared" si="1"/>
        <v>6142.4977999999992</v>
      </c>
    </row>
    <row r="14" spans="1:12" ht="16.2">
      <c r="A14" s="195"/>
      <c r="B14" s="193" t="s">
        <v>1089</v>
      </c>
      <c r="C14" s="193">
        <v>235</v>
      </c>
      <c r="D14" s="194">
        <v>2672.68</v>
      </c>
      <c r="E14" s="194">
        <f>D14*J7</f>
        <v>3153.7623999999996</v>
      </c>
      <c r="F14" s="194">
        <f>0.04*C14*J8</f>
        <v>1942.98</v>
      </c>
      <c r="G14" s="194">
        <f t="shared" si="0"/>
        <v>388.596</v>
      </c>
      <c r="H14" s="194">
        <f t="shared" si="1"/>
        <v>5485.3383999999987</v>
      </c>
    </row>
    <row r="15" spans="1:12" ht="16.8" thickBot="1">
      <c r="A15" s="195"/>
      <c r="B15" s="193" t="s">
        <v>1088</v>
      </c>
      <c r="C15" s="193">
        <v>220</v>
      </c>
      <c r="D15" s="194">
        <v>2209.21</v>
      </c>
      <c r="E15" s="194">
        <f>D15*J7</f>
        <v>2606.8678</v>
      </c>
      <c r="F15" s="194">
        <f>0.04*C15*J8</f>
        <v>1818.96</v>
      </c>
      <c r="G15" s="194">
        <f t="shared" si="0"/>
        <v>363.79200000000003</v>
      </c>
      <c r="H15" s="194">
        <f t="shared" si="1"/>
        <v>4789.6198000000004</v>
      </c>
    </row>
    <row r="16" spans="1:12" s="225" customFormat="1" ht="16.2">
      <c r="A16" s="223"/>
      <c r="B16" s="224" t="s">
        <v>1087</v>
      </c>
      <c r="C16" s="224">
        <v>200</v>
      </c>
      <c r="D16" s="224">
        <v>2301.9</v>
      </c>
      <c r="E16" s="224">
        <f>D16*J7</f>
        <v>2716.2420000000002</v>
      </c>
      <c r="F16" s="224">
        <f>0.04*C16*J8</f>
        <v>1653.6</v>
      </c>
      <c r="G16" s="224">
        <f t="shared" si="0"/>
        <v>330.72</v>
      </c>
      <c r="H16" s="224">
        <f t="shared" si="1"/>
        <v>4700.5620000000008</v>
      </c>
    </row>
    <row r="17" spans="1:8" ht="16.2">
      <c r="A17" s="195"/>
      <c r="B17" s="193" t="s">
        <v>1086</v>
      </c>
      <c r="C17" s="193">
        <v>180</v>
      </c>
      <c r="D17" s="194">
        <v>2131.96</v>
      </c>
      <c r="E17" s="194">
        <f>D17*J7</f>
        <v>2515.7127999999998</v>
      </c>
      <c r="F17" s="194">
        <f>0.04*C17*J8</f>
        <v>1488.24</v>
      </c>
      <c r="G17" s="194">
        <f t="shared" si="0"/>
        <v>297.64800000000002</v>
      </c>
      <c r="H17" s="194">
        <f t="shared" si="1"/>
        <v>4301.6008000000002</v>
      </c>
    </row>
    <row r="18" spans="1:8" ht="16.2">
      <c r="A18" s="195"/>
      <c r="B18" s="193" t="s">
        <v>1085</v>
      </c>
      <c r="C18" s="193">
        <v>160</v>
      </c>
      <c r="D18" s="194">
        <v>1637.56</v>
      </c>
      <c r="E18" s="194">
        <f>D18*J7</f>
        <v>1932.3207999999997</v>
      </c>
      <c r="F18" s="194">
        <f>0.04*C18*J8</f>
        <v>1322.88</v>
      </c>
      <c r="G18" s="194">
        <f t="shared" si="0"/>
        <v>264.57600000000002</v>
      </c>
      <c r="H18" s="194">
        <f t="shared" si="1"/>
        <v>3519.7767999999996</v>
      </c>
    </row>
    <row r="19" spans="1:8" ht="16.2">
      <c r="A19" s="195"/>
      <c r="B19" s="193" t="s">
        <v>1084</v>
      </c>
      <c r="C19" s="193">
        <v>140</v>
      </c>
      <c r="D19" s="194">
        <v>1838.43</v>
      </c>
      <c r="E19" s="194">
        <f>D19*J7</f>
        <v>2169.3474000000001</v>
      </c>
      <c r="F19" s="194">
        <f>0.04*C19*J8</f>
        <v>1157.52</v>
      </c>
      <c r="G19" s="194">
        <f t="shared" si="0"/>
        <v>231.50400000000002</v>
      </c>
      <c r="H19" s="194">
        <f t="shared" si="1"/>
        <v>3558.3714</v>
      </c>
    </row>
    <row r="20" spans="1:8" ht="16.8" thickBot="1">
      <c r="A20" s="195"/>
      <c r="B20" s="193" t="s">
        <v>1083</v>
      </c>
      <c r="C20" s="193">
        <v>140</v>
      </c>
      <c r="D20" s="194">
        <v>1745.74</v>
      </c>
      <c r="E20" s="194">
        <f>D20*J7</f>
        <v>2059.9731999999999</v>
      </c>
      <c r="F20" s="194">
        <f>0.04*C20*J8</f>
        <v>1157.52</v>
      </c>
      <c r="G20" s="194">
        <f t="shared" si="0"/>
        <v>231.50400000000002</v>
      </c>
      <c r="H20" s="194">
        <f t="shared" si="1"/>
        <v>3448.9971999999998</v>
      </c>
    </row>
    <row r="21" spans="1:8" s="225" customFormat="1" ht="16.2">
      <c r="A21" s="223"/>
      <c r="B21" s="224" t="s">
        <v>1082</v>
      </c>
      <c r="C21" s="224">
        <v>140</v>
      </c>
      <c r="D21" s="224">
        <v>1637.69</v>
      </c>
      <c r="E21" s="224">
        <f>D21*J7</f>
        <v>1932.4741999999999</v>
      </c>
      <c r="F21" s="224">
        <f>0.04*C21*J8</f>
        <v>1157.52</v>
      </c>
      <c r="G21" s="224">
        <f t="shared" si="0"/>
        <v>231.50400000000002</v>
      </c>
      <c r="H21" s="224">
        <f t="shared" si="1"/>
        <v>3321.4982</v>
      </c>
    </row>
    <row r="22" spans="1:8" ht="16.2">
      <c r="A22" s="195"/>
      <c r="B22" s="193" t="s">
        <v>1081</v>
      </c>
      <c r="C22" s="193">
        <v>140</v>
      </c>
      <c r="D22" s="194">
        <v>1745.74</v>
      </c>
      <c r="E22" s="194">
        <f>D22*J7</f>
        <v>2059.9731999999999</v>
      </c>
      <c r="F22" s="194">
        <f>0.04*C22*J8</f>
        <v>1157.52</v>
      </c>
      <c r="G22" s="194">
        <f t="shared" si="0"/>
        <v>231.50400000000002</v>
      </c>
      <c r="H22" s="194">
        <f t="shared" si="1"/>
        <v>3448.9971999999998</v>
      </c>
    </row>
    <row r="23" spans="1:8" ht="16.2">
      <c r="A23" s="195"/>
      <c r="B23" s="193" t="s">
        <v>1080</v>
      </c>
      <c r="C23" s="193">
        <v>140</v>
      </c>
      <c r="D23" s="194">
        <v>1529.45</v>
      </c>
      <c r="E23" s="194">
        <f>D23*J7</f>
        <v>1804.751</v>
      </c>
      <c r="F23" s="194">
        <f>0.04*C23*J8</f>
        <v>1157.52</v>
      </c>
      <c r="G23" s="194">
        <f t="shared" si="0"/>
        <v>231.50400000000002</v>
      </c>
      <c r="H23" s="194">
        <f t="shared" si="1"/>
        <v>3193.7749999999996</v>
      </c>
    </row>
    <row r="24" spans="1:8" ht="16.2">
      <c r="A24" s="195"/>
      <c r="B24" s="193" t="s">
        <v>1079</v>
      </c>
      <c r="C24" s="193">
        <v>105</v>
      </c>
      <c r="D24" s="194">
        <v>1328.61</v>
      </c>
      <c r="E24" s="194">
        <f>D24*J7</f>
        <v>1567.7597999999998</v>
      </c>
      <c r="F24" s="194">
        <f>0.04*C24*J8</f>
        <v>868.14</v>
      </c>
      <c r="G24" s="194">
        <f t="shared" si="0"/>
        <v>173.62800000000001</v>
      </c>
      <c r="H24" s="194">
        <f t="shared" si="1"/>
        <v>2609.5277999999998</v>
      </c>
    </row>
    <row r="25" spans="1:8" ht="16.8" thickBot="1">
      <c r="A25" s="195"/>
      <c r="B25" s="193" t="s">
        <v>1078</v>
      </c>
      <c r="C25" s="193">
        <v>75</v>
      </c>
      <c r="D25" s="194">
        <v>973.29</v>
      </c>
      <c r="E25" s="194">
        <f>D25*J7</f>
        <v>1148.4821999999999</v>
      </c>
      <c r="F25" s="194">
        <f>0.04*C25*J8</f>
        <v>620.09999999999991</v>
      </c>
      <c r="G25" s="194">
        <f t="shared" si="0"/>
        <v>124.01999999999998</v>
      </c>
      <c r="H25" s="194">
        <f t="shared" si="1"/>
        <v>1892.6021999999998</v>
      </c>
    </row>
    <row r="26" spans="1:8" ht="17.399999999999999" thickTop="1" thickBot="1">
      <c r="A26" s="196"/>
      <c r="B26" s="197"/>
      <c r="C26" s="197"/>
      <c r="D26" s="198"/>
      <c r="E26" s="198"/>
      <c r="F26" s="198"/>
      <c r="G26" s="198"/>
      <c r="H26" s="199"/>
    </row>
    <row r="27" spans="1:8" ht="28.8" thickTop="1" thickBot="1">
      <c r="A27" s="222" t="s">
        <v>1103</v>
      </c>
      <c r="B27" s="219" t="s">
        <v>1077</v>
      </c>
      <c r="C27" s="219">
        <v>165</v>
      </c>
      <c r="D27" s="200">
        <v>2100</v>
      </c>
      <c r="E27" s="201">
        <f>D27*J7</f>
        <v>2478</v>
      </c>
      <c r="F27" s="201">
        <f>0.04*C27*J8</f>
        <v>1364.22</v>
      </c>
      <c r="G27" s="201">
        <f t="shared" ref="G27:G36" si="2">0.2*F27</f>
        <v>272.84399999999999</v>
      </c>
      <c r="H27" s="201">
        <f t="shared" ref="H27:H36" si="3">E27+F27+G27</f>
        <v>4115.0640000000003</v>
      </c>
    </row>
    <row r="28" spans="1:8" ht="16.8" thickBot="1">
      <c r="A28" s="192"/>
      <c r="B28" s="193" t="s">
        <v>1076</v>
      </c>
      <c r="C28" s="193">
        <v>140</v>
      </c>
      <c r="D28" s="200">
        <v>1825</v>
      </c>
      <c r="E28" s="201">
        <f>D28*J7</f>
        <v>2153.5</v>
      </c>
      <c r="F28" s="201">
        <f>0.04*C28*J8</f>
        <v>1157.52</v>
      </c>
      <c r="G28" s="201">
        <f t="shared" si="2"/>
        <v>231.50400000000002</v>
      </c>
      <c r="H28" s="201">
        <f t="shared" si="3"/>
        <v>3542.5239999999999</v>
      </c>
    </row>
    <row r="29" spans="1:8" s="225" customFormat="1" ht="16.2">
      <c r="A29" s="223"/>
      <c r="B29" s="224" t="s">
        <v>1075</v>
      </c>
      <c r="C29" s="224">
        <v>135</v>
      </c>
      <c r="D29" s="224">
        <v>1606.7</v>
      </c>
      <c r="E29" s="224">
        <f>D29*J7</f>
        <v>1895.9059999999999</v>
      </c>
      <c r="F29" s="224">
        <f>0.04*C29*J8</f>
        <v>1116.18</v>
      </c>
      <c r="G29" s="224">
        <f t="shared" si="2"/>
        <v>223.23600000000002</v>
      </c>
      <c r="H29" s="224">
        <f t="shared" si="3"/>
        <v>3235.3220000000001</v>
      </c>
    </row>
    <row r="30" spans="1:8" ht="16.2">
      <c r="A30" s="195"/>
      <c r="B30" s="193" t="s">
        <v>1074</v>
      </c>
      <c r="C30" s="193">
        <v>125</v>
      </c>
      <c r="D30" s="202">
        <v>1825</v>
      </c>
      <c r="E30" s="194">
        <f>D30*J7</f>
        <v>2153.5</v>
      </c>
      <c r="F30" s="194">
        <f>0.04*C30*J8</f>
        <v>1033.5</v>
      </c>
      <c r="G30" s="194">
        <f t="shared" si="2"/>
        <v>206.70000000000002</v>
      </c>
      <c r="H30" s="194">
        <f t="shared" si="3"/>
        <v>3393.7</v>
      </c>
    </row>
    <row r="31" spans="1:8" ht="16.2">
      <c r="A31" s="195"/>
      <c r="B31" s="193" t="s">
        <v>1073</v>
      </c>
      <c r="C31" s="193">
        <v>125</v>
      </c>
      <c r="D31" s="202">
        <v>1498.55</v>
      </c>
      <c r="E31" s="194">
        <f>D31*J7</f>
        <v>1768.2889999999998</v>
      </c>
      <c r="F31" s="194">
        <f>0.04*C31*J8</f>
        <v>1033.5</v>
      </c>
      <c r="G31" s="194">
        <f t="shared" si="2"/>
        <v>206.70000000000002</v>
      </c>
      <c r="H31" s="194">
        <f t="shared" si="3"/>
        <v>3008.4889999999996</v>
      </c>
    </row>
    <row r="32" spans="1:8" ht="16.2">
      <c r="A32" s="195"/>
      <c r="B32" s="193" t="s">
        <v>1072</v>
      </c>
      <c r="C32" s="193">
        <v>125</v>
      </c>
      <c r="D32" s="202">
        <v>1483.1</v>
      </c>
      <c r="E32" s="194">
        <f>D32*J7</f>
        <v>1750.0579999999998</v>
      </c>
      <c r="F32" s="194">
        <f>0.04*C32*J8</f>
        <v>1033.5</v>
      </c>
      <c r="G32" s="194">
        <f t="shared" si="2"/>
        <v>206.70000000000002</v>
      </c>
      <c r="H32" s="194">
        <f t="shared" si="3"/>
        <v>2990.2579999999998</v>
      </c>
    </row>
    <row r="33" spans="1:8" ht="16.2">
      <c r="A33" s="195"/>
      <c r="B33" s="193" t="s">
        <v>1071</v>
      </c>
      <c r="C33" s="193">
        <v>115</v>
      </c>
      <c r="D33" s="202">
        <v>1220.47</v>
      </c>
      <c r="E33" s="194">
        <f>D33*J7</f>
        <v>1440.1545999999998</v>
      </c>
      <c r="F33" s="194">
        <f>0.04*C33*J8</f>
        <v>950.82</v>
      </c>
      <c r="G33" s="194">
        <f t="shared" si="2"/>
        <v>190.16400000000002</v>
      </c>
      <c r="H33" s="194">
        <f t="shared" si="3"/>
        <v>2581.1386000000002</v>
      </c>
    </row>
    <row r="34" spans="1:8" ht="16.2">
      <c r="A34" s="195"/>
      <c r="B34" s="193" t="s">
        <v>1070</v>
      </c>
      <c r="C34" s="193">
        <v>220</v>
      </c>
      <c r="D34" s="202">
        <v>1767.37</v>
      </c>
      <c r="E34" s="194">
        <f>D34*J7</f>
        <v>2085.4965999999999</v>
      </c>
      <c r="F34" s="194">
        <f>0.04*C34*J8</f>
        <v>1818.96</v>
      </c>
      <c r="G34" s="194">
        <f t="shared" si="2"/>
        <v>363.79200000000003</v>
      </c>
      <c r="H34" s="194">
        <f t="shared" si="3"/>
        <v>4268.2485999999999</v>
      </c>
    </row>
    <row r="35" spans="1:8" ht="16.2">
      <c r="A35" s="195"/>
      <c r="B35" s="193">
        <v>16</v>
      </c>
      <c r="C35" s="193">
        <v>275</v>
      </c>
      <c r="D35" s="202">
        <v>1944.1</v>
      </c>
      <c r="E35" s="194">
        <f>D35*J7</f>
        <v>2294.0379999999996</v>
      </c>
      <c r="F35" s="194">
        <f>0.04*C35*J8</f>
        <v>2273.6999999999998</v>
      </c>
      <c r="G35" s="194">
        <f t="shared" si="2"/>
        <v>454.74</v>
      </c>
      <c r="H35" s="194">
        <f t="shared" si="3"/>
        <v>5022.4779999999992</v>
      </c>
    </row>
    <row r="36" spans="1:8" ht="16.8" thickBot="1">
      <c r="A36" s="195"/>
      <c r="B36" s="193" t="s">
        <v>1069</v>
      </c>
      <c r="C36" s="193">
        <v>100</v>
      </c>
      <c r="D36" s="202">
        <v>1019.63</v>
      </c>
      <c r="E36" s="194">
        <f>D36*J7</f>
        <v>1203.1633999999999</v>
      </c>
      <c r="F36" s="194">
        <f>0.04*C36*J8</f>
        <v>826.8</v>
      </c>
      <c r="G36" s="194">
        <f t="shared" si="2"/>
        <v>165.36</v>
      </c>
      <c r="H36" s="194">
        <f t="shared" si="3"/>
        <v>2195.3233999999998</v>
      </c>
    </row>
    <row r="37" spans="1:8" ht="17.399999999999999" thickTop="1" thickBot="1">
      <c r="A37" s="196"/>
      <c r="B37" s="197"/>
      <c r="C37" s="197"/>
      <c r="D37" s="198"/>
      <c r="E37" s="197"/>
      <c r="F37" s="197"/>
      <c r="G37" s="197"/>
      <c r="H37" s="199"/>
    </row>
    <row r="38" spans="1:8" ht="28.8" thickTop="1" thickBot="1">
      <c r="A38" s="222" t="s">
        <v>1104</v>
      </c>
      <c r="B38" s="193" t="s">
        <v>1068</v>
      </c>
      <c r="C38" s="193">
        <v>215</v>
      </c>
      <c r="D38" s="194">
        <v>3336.98</v>
      </c>
      <c r="E38" s="194">
        <f>D38*J7</f>
        <v>3937.6363999999999</v>
      </c>
      <c r="F38" s="194">
        <f>0.04*C38*J8</f>
        <v>1777.62</v>
      </c>
      <c r="G38" s="194">
        <f t="shared" ref="G38:G45" si="4">0.2*F38</f>
        <v>355.524</v>
      </c>
      <c r="H38" s="194">
        <f t="shared" ref="H38:H45" si="5">E38+F38+G38</f>
        <v>6070.7804000000006</v>
      </c>
    </row>
    <row r="39" spans="1:8" s="225" customFormat="1" ht="16.8" thickBot="1">
      <c r="A39" s="223"/>
      <c r="B39" s="224" t="s">
        <v>1067</v>
      </c>
      <c r="C39" s="224">
        <v>145</v>
      </c>
      <c r="D39" s="224">
        <v>2209.21</v>
      </c>
      <c r="E39" s="224">
        <f>D39*J7</f>
        <v>2606.8678</v>
      </c>
      <c r="F39" s="224">
        <f>0.04*C39*J8</f>
        <v>1198.8599999999999</v>
      </c>
      <c r="G39" s="224">
        <f t="shared" si="4"/>
        <v>239.77199999999999</v>
      </c>
      <c r="H39" s="224">
        <f t="shared" si="5"/>
        <v>4045.4997999999996</v>
      </c>
    </row>
    <row r="40" spans="1:8" s="225" customFormat="1" ht="16.8" thickBot="1">
      <c r="A40" s="223"/>
      <c r="B40" s="224" t="s">
        <v>1066</v>
      </c>
      <c r="C40" s="224">
        <v>215</v>
      </c>
      <c r="D40" s="224">
        <v>2670.2</v>
      </c>
      <c r="E40" s="224">
        <f>D40*J7</f>
        <v>3150.8359999999998</v>
      </c>
      <c r="F40" s="224">
        <f>0.04*C40*J8</f>
        <v>1777.62</v>
      </c>
      <c r="G40" s="224">
        <f t="shared" si="4"/>
        <v>355.524</v>
      </c>
      <c r="H40" s="224">
        <f t="shared" si="5"/>
        <v>5283.9800000000005</v>
      </c>
    </row>
    <row r="41" spans="1:8" s="225" customFormat="1" ht="16.2">
      <c r="A41" s="223"/>
      <c r="B41" s="224" t="s">
        <v>1065</v>
      </c>
      <c r="C41" s="224">
        <v>128</v>
      </c>
      <c r="D41" s="224">
        <v>3051.18</v>
      </c>
      <c r="E41" s="224">
        <f>D41*J7</f>
        <v>3600.3923999999997</v>
      </c>
      <c r="F41" s="224">
        <f>0.04*C41*J8</f>
        <v>1058.3039999999999</v>
      </c>
      <c r="G41" s="224">
        <f t="shared" si="4"/>
        <v>211.66079999999999</v>
      </c>
      <c r="H41" s="224">
        <f t="shared" si="5"/>
        <v>4870.3571999999995</v>
      </c>
    </row>
    <row r="42" spans="1:8" ht="16.2">
      <c r="A42" s="195"/>
      <c r="B42" s="193">
        <v>330</v>
      </c>
      <c r="C42" s="193">
        <v>247</v>
      </c>
      <c r="D42" s="194">
        <v>3356.3</v>
      </c>
      <c r="E42" s="194">
        <f>D42*J7</f>
        <v>3960.4340000000002</v>
      </c>
      <c r="F42" s="194">
        <f>0.04*C42*J8</f>
        <v>2042.1960000000001</v>
      </c>
      <c r="G42" s="194">
        <f t="shared" si="4"/>
        <v>408.43920000000003</v>
      </c>
      <c r="H42" s="194">
        <f t="shared" si="5"/>
        <v>6411.0691999999999</v>
      </c>
    </row>
    <row r="43" spans="1:8" ht="16.2">
      <c r="A43" s="195"/>
      <c r="B43" s="193">
        <v>345</v>
      </c>
      <c r="C43" s="193">
        <v>321</v>
      </c>
      <c r="D43" s="194">
        <v>5500</v>
      </c>
      <c r="E43" s="194">
        <f>D43*J7</f>
        <v>6490</v>
      </c>
      <c r="F43" s="194">
        <f>0.04*C43*J8</f>
        <v>2654.0279999999998</v>
      </c>
      <c r="G43" s="194">
        <f t="shared" si="4"/>
        <v>530.80560000000003</v>
      </c>
      <c r="H43" s="194">
        <f t="shared" si="5"/>
        <v>9674.8335999999999</v>
      </c>
    </row>
    <row r="44" spans="1:8" ht="16.2">
      <c r="A44" s="203"/>
      <c r="B44" s="193" t="s">
        <v>1064</v>
      </c>
      <c r="C44" s="193">
        <v>404</v>
      </c>
      <c r="D44" s="194">
        <v>7800</v>
      </c>
      <c r="E44" s="194">
        <f>D44*J7</f>
        <v>9204</v>
      </c>
      <c r="F44" s="194">
        <f>0.04*C44*J8</f>
        <v>3340.2719999999999</v>
      </c>
      <c r="G44" s="194">
        <f t="shared" si="4"/>
        <v>668.05439999999999</v>
      </c>
      <c r="H44" s="194">
        <f t="shared" si="5"/>
        <v>13212.326400000002</v>
      </c>
    </row>
    <row r="45" spans="1:8" ht="16.8" thickBot="1">
      <c r="A45" s="204"/>
      <c r="B45" s="205">
        <v>416</v>
      </c>
      <c r="C45" s="205">
        <v>80</v>
      </c>
      <c r="D45" s="206">
        <v>1060</v>
      </c>
      <c r="E45" s="194">
        <f>D45*J7</f>
        <v>1250.8</v>
      </c>
      <c r="F45" s="194">
        <f>0.04*C45*J8</f>
        <v>661.44</v>
      </c>
      <c r="G45" s="194">
        <f t="shared" si="4"/>
        <v>132.28800000000001</v>
      </c>
      <c r="H45" s="194">
        <f t="shared" si="5"/>
        <v>2044.528</v>
      </c>
    </row>
    <row r="46" spans="1:8" ht="17.399999999999999" thickTop="1" thickBot="1">
      <c r="A46" s="196"/>
      <c r="B46" s="197"/>
      <c r="C46" s="197"/>
      <c r="D46" s="197" t="s">
        <v>137</v>
      </c>
      <c r="E46" s="197"/>
      <c r="F46" s="197"/>
      <c r="G46" s="197"/>
      <c r="H46" s="199"/>
    </row>
    <row r="47" spans="1:8" ht="28.8" thickTop="1" thickBot="1">
      <c r="A47" s="222" t="s">
        <v>1105</v>
      </c>
      <c r="B47" s="193" t="s">
        <v>1063</v>
      </c>
      <c r="C47" s="193">
        <v>375</v>
      </c>
      <c r="D47" s="194">
        <v>3600.45</v>
      </c>
      <c r="E47" s="194">
        <f>D47*J7</f>
        <v>4248.5309999999999</v>
      </c>
      <c r="F47" s="194">
        <f>0.04*C47*J8</f>
        <v>3100.5</v>
      </c>
      <c r="G47" s="194">
        <f t="shared" ref="G47:G64" si="6">0.2*F47</f>
        <v>620.1</v>
      </c>
      <c r="H47" s="194">
        <f t="shared" ref="H47:H64" si="7">E47+F47+G47</f>
        <v>7969.1310000000003</v>
      </c>
    </row>
    <row r="48" spans="1:8" ht="16.2">
      <c r="A48" s="192"/>
      <c r="B48" s="193" t="s">
        <v>1062</v>
      </c>
      <c r="C48" s="193">
        <v>270</v>
      </c>
      <c r="D48" s="194">
        <v>2966.21</v>
      </c>
      <c r="E48" s="194">
        <f>D48*J7</f>
        <v>3500.1277999999998</v>
      </c>
      <c r="F48" s="194">
        <f>0.04*C48*J8</f>
        <v>2232.36</v>
      </c>
      <c r="G48" s="194">
        <f t="shared" si="6"/>
        <v>446.47200000000004</v>
      </c>
      <c r="H48" s="194">
        <f t="shared" si="7"/>
        <v>6178.9597999999996</v>
      </c>
    </row>
    <row r="49" spans="1:8" ht="16.2">
      <c r="A49" s="195"/>
      <c r="B49" s="193" t="s">
        <v>1061</v>
      </c>
      <c r="C49" s="193">
        <v>235</v>
      </c>
      <c r="D49" s="194">
        <v>2827.17</v>
      </c>
      <c r="E49" s="194">
        <f>D49*J7</f>
        <v>3336.0605999999998</v>
      </c>
      <c r="F49" s="194">
        <f>0.04*C49*J8</f>
        <v>1942.98</v>
      </c>
      <c r="G49" s="194">
        <f t="shared" si="6"/>
        <v>388.596</v>
      </c>
      <c r="H49" s="194">
        <f t="shared" si="7"/>
        <v>5667.6365999999998</v>
      </c>
    </row>
    <row r="50" spans="1:8" ht="16.2">
      <c r="A50" s="195"/>
      <c r="B50" s="193" t="s">
        <v>1060</v>
      </c>
      <c r="C50" s="193">
        <v>235</v>
      </c>
      <c r="D50" s="194">
        <v>2827.17</v>
      </c>
      <c r="E50" s="194">
        <f>D50*J7</f>
        <v>3336.0605999999998</v>
      </c>
      <c r="F50" s="194">
        <f>0.04*C50*J8</f>
        <v>1942.98</v>
      </c>
      <c r="G50" s="194">
        <f t="shared" si="6"/>
        <v>388.596</v>
      </c>
      <c r="H50" s="194">
        <f t="shared" si="7"/>
        <v>5667.6365999999998</v>
      </c>
    </row>
    <row r="51" spans="1:8" ht="16.2">
      <c r="A51" s="195"/>
      <c r="B51" s="193" t="s">
        <v>1059</v>
      </c>
      <c r="C51" s="193">
        <v>220</v>
      </c>
      <c r="D51" s="194">
        <v>2600</v>
      </c>
      <c r="E51" s="194">
        <f>D51*J7</f>
        <v>3068</v>
      </c>
      <c r="F51" s="194">
        <f>0.04*C51*J8</f>
        <v>1818.96</v>
      </c>
      <c r="G51" s="194">
        <f t="shared" si="6"/>
        <v>363.79200000000003</v>
      </c>
      <c r="H51" s="194">
        <f t="shared" si="7"/>
        <v>5250.7520000000004</v>
      </c>
    </row>
    <row r="52" spans="1:8" ht="16.2">
      <c r="A52" s="195"/>
      <c r="B52" s="193" t="s">
        <v>1058</v>
      </c>
      <c r="C52" s="193">
        <v>200</v>
      </c>
      <c r="D52" s="194">
        <v>2500</v>
      </c>
      <c r="E52" s="194">
        <f>D52*J7</f>
        <v>2950</v>
      </c>
      <c r="F52" s="194">
        <f>0.04*C52*J8</f>
        <v>1653.6</v>
      </c>
      <c r="G52" s="194">
        <f t="shared" si="6"/>
        <v>330.72</v>
      </c>
      <c r="H52" s="194">
        <f t="shared" si="7"/>
        <v>4934.3200000000006</v>
      </c>
    </row>
    <row r="53" spans="1:8" ht="16.2">
      <c r="A53" s="195"/>
      <c r="B53" s="193" t="s">
        <v>1057</v>
      </c>
      <c r="C53" s="193">
        <v>200</v>
      </c>
      <c r="D53" s="194">
        <v>2564.5300000000002</v>
      </c>
      <c r="E53" s="194">
        <f>D53*J7</f>
        <v>3026.1453999999999</v>
      </c>
      <c r="F53" s="194">
        <f>0.04*C53*J8</f>
        <v>1653.6</v>
      </c>
      <c r="G53" s="194">
        <f t="shared" si="6"/>
        <v>330.72</v>
      </c>
      <c r="H53" s="194">
        <f t="shared" si="7"/>
        <v>5010.4654</v>
      </c>
    </row>
    <row r="54" spans="1:8" ht="16.2">
      <c r="A54" s="195"/>
      <c r="B54" s="193" t="s">
        <v>1056</v>
      </c>
      <c r="C54" s="193">
        <v>170</v>
      </c>
      <c r="D54" s="194">
        <v>2240.11</v>
      </c>
      <c r="E54" s="194">
        <f>D54*J7</f>
        <v>2643.3298</v>
      </c>
      <c r="F54" s="194">
        <f>0.04*C54*J8</f>
        <v>1405.56</v>
      </c>
      <c r="G54" s="194">
        <f t="shared" si="6"/>
        <v>281.11200000000002</v>
      </c>
      <c r="H54" s="194">
        <f t="shared" si="7"/>
        <v>4330.0018</v>
      </c>
    </row>
    <row r="55" spans="1:8" ht="16.2">
      <c r="A55" s="195"/>
      <c r="B55" s="193" t="s">
        <v>1055</v>
      </c>
      <c r="C55" s="193">
        <v>168</v>
      </c>
      <c r="D55" s="194">
        <v>1992.92</v>
      </c>
      <c r="E55" s="194">
        <f>D55*J7</f>
        <v>2351.6455999999998</v>
      </c>
      <c r="F55" s="194">
        <f>0.04*C55*J8</f>
        <v>1389.0239999999999</v>
      </c>
      <c r="G55" s="194">
        <f t="shared" si="6"/>
        <v>277.8048</v>
      </c>
      <c r="H55" s="194">
        <f t="shared" si="7"/>
        <v>4018.4743999999996</v>
      </c>
    </row>
    <row r="56" spans="1:8" ht="16.8" thickBot="1">
      <c r="A56" s="195"/>
      <c r="B56" s="193" t="s">
        <v>1054</v>
      </c>
      <c r="C56" s="193">
        <v>160</v>
      </c>
      <c r="D56" s="194">
        <v>1977.47</v>
      </c>
      <c r="E56" s="194">
        <f>D56*J7</f>
        <v>2333.4146000000001</v>
      </c>
      <c r="F56" s="194">
        <f>0.04*C56*J8</f>
        <v>1322.88</v>
      </c>
      <c r="G56" s="194">
        <f t="shared" si="6"/>
        <v>264.57600000000002</v>
      </c>
      <c r="H56" s="194">
        <f t="shared" si="7"/>
        <v>3920.8706000000002</v>
      </c>
    </row>
    <row r="57" spans="1:8" s="225" customFormat="1" ht="16.2">
      <c r="A57" s="223"/>
      <c r="B57" s="224" t="s">
        <v>1053</v>
      </c>
      <c r="C57" s="224">
        <v>155</v>
      </c>
      <c r="D57" s="224">
        <v>1884.78</v>
      </c>
      <c r="E57" s="224">
        <f>D57*J7</f>
        <v>2224.0403999999999</v>
      </c>
      <c r="F57" s="224">
        <f>0.04*C57*J8</f>
        <v>1281.54</v>
      </c>
      <c r="G57" s="224">
        <f t="shared" si="6"/>
        <v>256.30799999999999</v>
      </c>
      <c r="H57" s="224">
        <f t="shared" si="7"/>
        <v>3761.8883999999998</v>
      </c>
    </row>
    <row r="58" spans="1:8" ht="16.8" thickBot="1">
      <c r="A58" s="195"/>
      <c r="B58" s="207" t="s">
        <v>1052</v>
      </c>
      <c r="C58" s="207">
        <v>135</v>
      </c>
      <c r="D58" s="201">
        <v>1725.25</v>
      </c>
      <c r="E58" s="201">
        <f>D58*J7</f>
        <v>2035.7949999999998</v>
      </c>
      <c r="F58" s="201">
        <f>0.04*C58*J8</f>
        <v>1116.18</v>
      </c>
      <c r="G58" s="201">
        <f t="shared" si="6"/>
        <v>223.23600000000002</v>
      </c>
      <c r="H58" s="201">
        <f t="shared" si="7"/>
        <v>3375.2109999999998</v>
      </c>
    </row>
    <row r="59" spans="1:8" s="225" customFormat="1" ht="16.8" thickBot="1">
      <c r="A59" s="223"/>
      <c r="B59" s="224" t="s">
        <v>1051</v>
      </c>
      <c r="C59" s="224">
        <v>130</v>
      </c>
      <c r="D59" s="224">
        <v>1637.59</v>
      </c>
      <c r="E59" s="224">
        <f>D59*J7</f>
        <v>1932.3561999999997</v>
      </c>
      <c r="F59" s="224">
        <f>0.04*C59*J8</f>
        <v>1074.8399999999999</v>
      </c>
      <c r="G59" s="224">
        <f t="shared" si="6"/>
        <v>214.96799999999999</v>
      </c>
      <c r="H59" s="224">
        <f t="shared" si="7"/>
        <v>3222.1641999999993</v>
      </c>
    </row>
    <row r="60" spans="1:8" ht="28.2" thickBot="1">
      <c r="A60" s="222" t="s">
        <v>1105</v>
      </c>
      <c r="B60" s="193" t="s">
        <v>1044</v>
      </c>
      <c r="C60" s="193">
        <v>105</v>
      </c>
      <c r="D60" s="194">
        <v>1498.55</v>
      </c>
      <c r="E60" s="194">
        <f>D60*J7</f>
        <v>1768.2889999999998</v>
      </c>
      <c r="F60" s="194">
        <f>0.04*C60*J8</f>
        <v>868.14</v>
      </c>
      <c r="G60" s="194">
        <f t="shared" si="6"/>
        <v>173.62800000000001</v>
      </c>
      <c r="H60" s="194">
        <f t="shared" si="7"/>
        <v>2810.0569999999998</v>
      </c>
    </row>
    <row r="61" spans="1:8" s="225" customFormat="1" ht="16.2">
      <c r="A61" s="223"/>
      <c r="B61" s="224" t="s">
        <v>1043</v>
      </c>
      <c r="C61" s="224">
        <v>100</v>
      </c>
      <c r="D61" s="224">
        <v>1390.41</v>
      </c>
      <c r="E61" s="224">
        <f>D61*J7</f>
        <v>1640.6838</v>
      </c>
      <c r="F61" s="224">
        <f>0.04*C61*J8</f>
        <v>826.8</v>
      </c>
      <c r="G61" s="224">
        <f t="shared" si="6"/>
        <v>165.36</v>
      </c>
      <c r="H61" s="224">
        <f t="shared" si="7"/>
        <v>2632.8438000000001</v>
      </c>
    </row>
    <row r="62" spans="1:8" ht="16.2">
      <c r="A62" s="195"/>
      <c r="B62" s="193" t="s">
        <v>1042</v>
      </c>
      <c r="C62" s="193">
        <v>85</v>
      </c>
      <c r="D62" s="194">
        <v>1235.92</v>
      </c>
      <c r="E62" s="194">
        <f>D62*J7</f>
        <v>1458.3856000000001</v>
      </c>
      <c r="F62" s="194">
        <f>0.04*C62*J8</f>
        <v>702.78</v>
      </c>
      <c r="G62" s="194">
        <f t="shared" si="6"/>
        <v>140.55600000000001</v>
      </c>
      <c r="H62" s="194">
        <f t="shared" si="7"/>
        <v>2301.7216000000003</v>
      </c>
    </row>
    <row r="63" spans="1:8" ht="16.2">
      <c r="A63" s="195"/>
      <c r="B63" s="193" t="s">
        <v>1041</v>
      </c>
      <c r="C63" s="193">
        <v>80</v>
      </c>
      <c r="D63" s="194">
        <v>1220.47</v>
      </c>
      <c r="E63" s="194">
        <f>D63*J7</f>
        <v>1440.1545999999998</v>
      </c>
      <c r="F63" s="194">
        <f>0.04*C63*J8</f>
        <v>661.44</v>
      </c>
      <c r="G63" s="194">
        <f t="shared" si="6"/>
        <v>132.28800000000001</v>
      </c>
      <c r="H63" s="194">
        <f t="shared" si="7"/>
        <v>2233.8825999999999</v>
      </c>
    </row>
    <row r="64" spans="1:8" ht="16.2">
      <c r="A64" s="203"/>
      <c r="B64" s="193" t="s">
        <v>1040</v>
      </c>
      <c r="C64" s="193">
        <v>54</v>
      </c>
      <c r="D64" s="194">
        <v>700</v>
      </c>
      <c r="E64" s="194">
        <f>D64*J7</f>
        <v>826</v>
      </c>
      <c r="F64" s="194">
        <f>0.04*C64*J8</f>
        <v>446.47199999999998</v>
      </c>
      <c r="G64" s="194">
        <f t="shared" si="6"/>
        <v>89.294399999999996</v>
      </c>
      <c r="H64" s="194">
        <f t="shared" si="7"/>
        <v>1361.7664</v>
      </c>
    </row>
    <row r="65" spans="1:8" ht="16.8" thickBot="1">
      <c r="A65" s="208"/>
      <c r="B65" s="209"/>
      <c r="C65" s="209"/>
      <c r="D65" s="209"/>
      <c r="E65" s="209"/>
      <c r="F65" s="209"/>
      <c r="G65" s="209"/>
      <c r="H65" s="210"/>
    </row>
    <row r="66" spans="1:8" ht="28.8" thickTop="1" thickBot="1">
      <c r="A66" s="222" t="s">
        <v>1106</v>
      </c>
      <c r="B66" s="193" t="s">
        <v>1039</v>
      </c>
      <c r="C66" s="193">
        <v>200</v>
      </c>
      <c r="D66" s="194">
        <v>2085.62</v>
      </c>
      <c r="E66" s="194">
        <f>D66*J7</f>
        <v>2461.0315999999998</v>
      </c>
      <c r="F66" s="194">
        <f>0.04*C66*J8</f>
        <v>1653.6</v>
      </c>
      <c r="G66" s="194">
        <f>0.2*F66</f>
        <v>330.72</v>
      </c>
      <c r="H66" s="194">
        <f>E66+F66+G66</f>
        <v>4445.3516</v>
      </c>
    </row>
    <row r="67" spans="1:8" ht="16.2">
      <c r="A67" s="192"/>
      <c r="B67" s="193" t="s">
        <v>1038</v>
      </c>
      <c r="C67" s="193">
        <v>190</v>
      </c>
      <c r="D67" s="194">
        <v>2023.82</v>
      </c>
      <c r="E67" s="194">
        <f>D67*J7</f>
        <v>2388.1075999999998</v>
      </c>
      <c r="F67" s="194">
        <f>0.04*C67*J8</f>
        <v>1570.92</v>
      </c>
      <c r="G67" s="194">
        <f>0.2*F67</f>
        <v>314.18400000000003</v>
      </c>
      <c r="H67" s="194">
        <f>E67+F67+G67</f>
        <v>4273.2115999999996</v>
      </c>
    </row>
    <row r="68" spans="1:8" ht="16.2">
      <c r="A68" s="195"/>
      <c r="B68" s="193" t="s">
        <v>1037</v>
      </c>
      <c r="C68" s="193">
        <v>130</v>
      </c>
      <c r="D68" s="194">
        <v>1699.39</v>
      </c>
      <c r="E68" s="194">
        <f>D68*J7</f>
        <v>2005.2801999999999</v>
      </c>
      <c r="F68" s="194">
        <f>0.04*C68*J8</f>
        <v>1074.8399999999999</v>
      </c>
      <c r="G68" s="194">
        <f>0.2*F68</f>
        <v>214.96799999999999</v>
      </c>
      <c r="H68" s="194">
        <f>E68+F68+G68</f>
        <v>3295.0881999999997</v>
      </c>
    </row>
    <row r="69" spans="1:8" ht="16.8" thickBot="1">
      <c r="A69" s="195"/>
      <c r="B69" s="193" t="s">
        <v>1036</v>
      </c>
      <c r="C69" s="193">
        <v>115</v>
      </c>
      <c r="D69" s="194">
        <v>1405.86</v>
      </c>
      <c r="E69" s="194">
        <f>D69*J7</f>
        <v>1658.9147999999998</v>
      </c>
      <c r="F69" s="194">
        <f>0.04*C69*J8</f>
        <v>950.82</v>
      </c>
      <c r="G69" s="194">
        <f>0.2*F69</f>
        <v>190.16400000000002</v>
      </c>
      <c r="H69" s="194">
        <f>E69+F69+G69</f>
        <v>2799.8987999999999</v>
      </c>
    </row>
    <row r="70" spans="1:8" ht="17.399999999999999" thickTop="1" thickBot="1">
      <c r="A70" s="196"/>
      <c r="B70" s="197"/>
      <c r="C70" s="197"/>
      <c r="D70" s="197" t="s">
        <v>137</v>
      </c>
      <c r="E70" s="197"/>
      <c r="F70" s="197"/>
      <c r="G70" s="197"/>
      <c r="H70" s="199"/>
    </row>
    <row r="71" spans="1:8" ht="17.399999999999999" thickTop="1" thickBot="1">
      <c r="A71" s="222" t="s">
        <v>1035</v>
      </c>
      <c r="B71" s="193" t="s">
        <v>1034</v>
      </c>
      <c r="C71" s="193">
        <v>450</v>
      </c>
      <c r="D71" s="194">
        <v>4124.88</v>
      </c>
      <c r="E71" s="194">
        <f>D71*J7</f>
        <v>4867.3584000000001</v>
      </c>
      <c r="F71" s="194">
        <f>0.04*C71*J8</f>
        <v>3720.6</v>
      </c>
      <c r="G71" s="194">
        <f>0.2*F71</f>
        <v>744.12</v>
      </c>
      <c r="H71" s="194">
        <f>E71+F71+G71</f>
        <v>9332.0784000000003</v>
      </c>
    </row>
    <row r="72" spans="1:8" ht="16.2">
      <c r="A72" s="195"/>
      <c r="B72" s="193" t="s">
        <v>1033</v>
      </c>
      <c r="C72" s="193">
        <v>420</v>
      </c>
      <c r="D72" s="194">
        <v>3105.25</v>
      </c>
      <c r="E72" s="194">
        <f>D72*J7</f>
        <v>3664.1949999999997</v>
      </c>
      <c r="F72" s="194">
        <f>0.04*C72*J8</f>
        <v>3472.56</v>
      </c>
      <c r="G72" s="194">
        <f>0.2*F72</f>
        <v>694.51200000000006</v>
      </c>
      <c r="H72" s="194">
        <f>E72+F72+G72</f>
        <v>7831.2669999999989</v>
      </c>
    </row>
    <row r="73" spans="1:8" ht="16.2">
      <c r="A73" s="195"/>
      <c r="B73" s="193" t="s">
        <v>1032</v>
      </c>
      <c r="C73" s="193">
        <v>300</v>
      </c>
      <c r="D73" s="194">
        <v>2579.98</v>
      </c>
      <c r="E73" s="194">
        <f>D73*J7</f>
        <v>3044.3763999999996</v>
      </c>
      <c r="F73" s="194">
        <f>0.04*C73*J8</f>
        <v>2480.3999999999996</v>
      </c>
      <c r="G73" s="194">
        <f>0.2*F73</f>
        <v>496.07999999999993</v>
      </c>
      <c r="H73" s="194">
        <f>E73+F73+G73</f>
        <v>6020.8563999999988</v>
      </c>
    </row>
    <row r="74" spans="1:8" ht="16.8" thickBot="1">
      <c r="A74" s="211"/>
      <c r="B74" s="212" t="s">
        <v>1031</v>
      </c>
      <c r="C74" s="212">
        <v>300</v>
      </c>
      <c r="D74" s="213">
        <v>2487.29</v>
      </c>
      <c r="E74" s="214">
        <f>D74*J7</f>
        <v>2935.0021999999999</v>
      </c>
      <c r="F74" s="214">
        <f>0.04*C74*J8</f>
        <v>2480.3999999999996</v>
      </c>
      <c r="G74" s="214">
        <f>0.2*F74</f>
        <v>496.07999999999993</v>
      </c>
      <c r="H74" s="214">
        <f>E74+F74+G74</f>
        <v>5911.4821999999995</v>
      </c>
    </row>
    <row r="75" spans="1:8" ht="17.399999999999999" thickTop="1" thickBot="1">
      <c r="A75" s="196"/>
      <c r="B75" s="197"/>
      <c r="C75" s="197"/>
      <c r="D75" s="197"/>
      <c r="E75" s="197"/>
      <c r="F75" s="197"/>
      <c r="G75" s="197"/>
      <c r="H75" s="199"/>
    </row>
    <row r="76" spans="1:8" ht="42.6" thickTop="1" thickBot="1">
      <c r="A76" s="222" t="s">
        <v>1107</v>
      </c>
      <c r="B76" s="215" t="s">
        <v>1030</v>
      </c>
      <c r="C76" s="215">
        <v>310</v>
      </c>
      <c r="D76" s="216">
        <v>2641.78</v>
      </c>
      <c r="E76" s="216">
        <f>D76*J7</f>
        <v>3117.3004000000001</v>
      </c>
      <c r="F76" s="216">
        <f>0.04*C76*J8</f>
        <v>2563.08</v>
      </c>
      <c r="G76" s="216">
        <f>0.2*F76</f>
        <v>512.61599999999999</v>
      </c>
      <c r="H76" s="216">
        <f>E76+F76+G76</f>
        <v>6192.9964</v>
      </c>
    </row>
    <row r="77" spans="1:8" ht="16.2">
      <c r="A77" s="192"/>
      <c r="B77" s="193" t="s">
        <v>1029</v>
      </c>
      <c r="C77" s="193">
        <v>200</v>
      </c>
      <c r="D77" s="194">
        <v>2209.21</v>
      </c>
      <c r="E77" s="194">
        <f>D77*J7</f>
        <v>2606.8678</v>
      </c>
      <c r="F77" s="194">
        <f>0.04*C77*J8</f>
        <v>1653.6</v>
      </c>
      <c r="G77" s="194">
        <f>0.2*F77</f>
        <v>330.72</v>
      </c>
      <c r="H77" s="194">
        <f>E77+F77+G77</f>
        <v>4591.1878000000006</v>
      </c>
    </row>
    <row r="78" spans="1:8" ht="16.2">
      <c r="A78" s="192"/>
      <c r="B78" s="193" t="s">
        <v>1028</v>
      </c>
      <c r="C78" s="193">
        <v>300</v>
      </c>
      <c r="D78" s="194">
        <v>1326.61</v>
      </c>
      <c r="E78" s="194">
        <f>D78*J7</f>
        <v>1565.3997999999997</v>
      </c>
      <c r="F78" s="194">
        <f>0.04*C78*J8</f>
        <v>2480.3999999999996</v>
      </c>
      <c r="G78" s="194">
        <f>0.2*F78</f>
        <v>496.07999999999993</v>
      </c>
      <c r="H78" s="194">
        <f>E78+F78+G78</f>
        <v>4541.8797999999988</v>
      </c>
    </row>
    <row r="79" spans="1:8" ht="16.2">
      <c r="A79" s="195"/>
      <c r="B79" s="193" t="s">
        <v>1027</v>
      </c>
      <c r="C79" s="193">
        <v>150</v>
      </c>
      <c r="D79" s="194">
        <v>1251.3699999999999</v>
      </c>
      <c r="E79" s="194">
        <f>D79*J7</f>
        <v>1476.6165999999998</v>
      </c>
      <c r="F79" s="194">
        <f>0.04*C79*J8</f>
        <v>1240.1999999999998</v>
      </c>
      <c r="G79" s="194">
        <f>0.2*F79</f>
        <v>248.03999999999996</v>
      </c>
      <c r="H79" s="194">
        <f>E79+F79+G79</f>
        <v>2964.8565999999996</v>
      </c>
    </row>
    <row r="80" spans="1:8" ht="16.8" thickBot="1">
      <c r="A80" s="195"/>
      <c r="B80" s="207" t="s">
        <v>1026</v>
      </c>
      <c r="C80" s="207"/>
      <c r="D80" s="201">
        <v>250</v>
      </c>
      <c r="E80" s="201">
        <f>D80*J7</f>
        <v>295</v>
      </c>
      <c r="F80" s="201">
        <f>0.04*C80*J8</f>
        <v>0</v>
      </c>
      <c r="G80" s="201">
        <f>0.2*F80</f>
        <v>0</v>
      </c>
      <c r="H80" s="201">
        <f>E80+F80+G80</f>
        <v>295</v>
      </c>
    </row>
    <row r="81" spans="1:8" ht="17.399999999999999" thickTop="1" thickBot="1">
      <c r="A81" s="196"/>
      <c r="B81" s="217"/>
      <c r="C81" s="217"/>
      <c r="D81" s="198"/>
      <c r="E81" s="198"/>
      <c r="F81" s="198"/>
      <c r="G81" s="198"/>
      <c r="H81" s="218"/>
    </row>
    <row r="82" spans="1:8" ht="17.399999999999999" thickTop="1" thickBot="1">
      <c r="A82" s="222" t="s">
        <v>1025</v>
      </c>
      <c r="B82" s="193" t="s">
        <v>1024</v>
      </c>
      <c r="C82" s="193">
        <v>235</v>
      </c>
      <c r="D82" s="194">
        <v>1560.35</v>
      </c>
      <c r="E82" s="194">
        <f>D82*J7</f>
        <v>1841.2129999999997</v>
      </c>
      <c r="F82" s="194">
        <f>0.04*C82*J8</f>
        <v>1942.98</v>
      </c>
      <c r="G82" s="194">
        <f>0.2*F82</f>
        <v>388.596</v>
      </c>
      <c r="H82" s="194">
        <f>E82+F82+G82</f>
        <v>4172.7889999999998</v>
      </c>
    </row>
    <row r="83" spans="1:8" s="225" customFormat="1" ht="33" thickBot="1">
      <c r="A83" s="222" t="s">
        <v>1023</v>
      </c>
      <c r="B83" s="224" t="s">
        <v>1022</v>
      </c>
      <c r="C83" s="224">
        <v>125</v>
      </c>
      <c r="D83" s="224">
        <v>1483.1</v>
      </c>
      <c r="E83" s="224">
        <f>D83*J7</f>
        <v>1750.0579999999998</v>
      </c>
      <c r="F83" s="224">
        <f>0.04*C83*J8</f>
        <v>1033.5</v>
      </c>
      <c r="G83" s="224">
        <f>0.2*F83</f>
        <v>206.70000000000002</v>
      </c>
      <c r="H83" s="224">
        <f>E83+F83+G83</f>
        <v>2990.2579999999998</v>
      </c>
    </row>
    <row r="84" spans="1:8" ht="16.2">
      <c r="A84" s="195"/>
      <c r="B84" s="207" t="s">
        <v>1021</v>
      </c>
      <c r="C84" s="207">
        <v>120</v>
      </c>
      <c r="D84" s="201">
        <v>1483.1</v>
      </c>
      <c r="E84" s="201">
        <f>D84*J7</f>
        <v>1750.0579999999998</v>
      </c>
      <c r="F84" s="201">
        <f>0.04*C84*J8</f>
        <v>992.15999999999985</v>
      </c>
      <c r="G84" s="201">
        <f>0.2*F84</f>
        <v>198.43199999999999</v>
      </c>
      <c r="H84" s="201">
        <f>E84+F84+G84</f>
        <v>2940.6499999999996</v>
      </c>
    </row>
    <row r="85" spans="1:8" ht="16.8" thickBot="1">
      <c r="A85" s="195"/>
      <c r="B85" s="193" t="s">
        <v>1020</v>
      </c>
      <c r="C85" s="193">
        <v>180</v>
      </c>
      <c r="D85" s="194">
        <v>1483.1</v>
      </c>
      <c r="E85" s="194">
        <f>D85*J7</f>
        <v>1750.0579999999998</v>
      </c>
      <c r="F85" s="194">
        <f>0.04*C85*J8</f>
        <v>1488.24</v>
      </c>
      <c r="G85" s="194">
        <f>0.2*F85</f>
        <v>297.64800000000002</v>
      </c>
      <c r="H85" s="194">
        <f>E85+F85+G85</f>
        <v>3535.9459999999999</v>
      </c>
    </row>
    <row r="86" spans="1:8" ht="17.399999999999999" thickTop="1" thickBot="1">
      <c r="A86" s="196"/>
      <c r="B86" s="226"/>
      <c r="C86" s="217"/>
      <c r="D86" s="198"/>
      <c r="E86" s="198"/>
      <c r="F86" s="198"/>
      <c r="G86" s="198"/>
      <c r="H86" s="218"/>
    </row>
    <row r="87" spans="1:8" ht="13.8" thickTop="1"/>
  </sheetData>
  <mergeCells count="1">
    <mergeCell ref="A3:H3"/>
  </mergeCells>
  <pageMargins left="0.74803149606299213" right="0.74803149606299213" top="0.98425196850393704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PORTADA</vt:lpstr>
      <vt:lpstr>Subcontratos</vt:lpstr>
      <vt:lpstr>Insumos sanitarios</vt:lpstr>
      <vt:lpstr>Mano de Obra Sanitaria</vt:lpstr>
      <vt:lpstr>Analisis Sanitarios</vt:lpstr>
      <vt:lpstr>insumos ELECT</vt:lpstr>
      <vt:lpstr>mano de obra ELECT</vt:lpstr>
      <vt:lpstr>anal.elect.</vt:lpstr>
      <vt:lpstr>tarifa equipo</vt:lpstr>
      <vt:lpstr>PRESUPUESTO</vt:lpstr>
      <vt:lpstr>'Mano de Obra Sanitaria'!OLE_LINK2</vt:lpstr>
      <vt:lpstr>anal.elect.!Print_Area</vt:lpstr>
      <vt:lpstr>'Analisis Sanitarios'!Print_Area</vt:lpstr>
      <vt:lpstr>'insumos ELECT'!Print_Area</vt:lpstr>
      <vt:lpstr>'Insumos sanitarios'!Print_Area</vt:lpstr>
      <vt:lpstr>'Mano de Obra Sanitaria'!Print_Area</vt:lpstr>
      <vt:lpstr>PORTADA!Print_Area</vt:lpstr>
      <vt:lpstr>PRESUPUESTO!Print_Area</vt:lpstr>
      <vt:lpstr>Subcontratos!Print_Area</vt:lpstr>
      <vt:lpstr>'tarifa equipo'!Print_Area</vt:lpstr>
      <vt:lpstr>anal.elect.!Print_Titles</vt:lpstr>
      <vt:lpstr>'Analisis Sanitarios'!Print_Titles</vt:lpstr>
      <vt:lpstr>'insumos ELECT'!Print_Titles</vt:lpstr>
      <vt:lpstr>'Insumos sanitarios'!Print_Titles</vt:lpstr>
      <vt:lpstr>'mano de obra ELECT'!Print_Titles</vt:lpstr>
      <vt:lpstr>'Mano de Obra Sanitaria'!Print_Titles</vt:lpstr>
      <vt:lpstr>Subcontratos!Print_Titles</vt:lpstr>
      <vt:lpstr>'tarifa equipo'!Print_Titles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yanel</dc:creator>
  <cp:lastModifiedBy>Juan Dominguez Solano</cp:lastModifiedBy>
  <cp:lastPrinted>2021-10-20T01:50:42Z</cp:lastPrinted>
  <dcterms:created xsi:type="dcterms:W3CDTF">2002-09-15T18:12:37Z</dcterms:created>
  <dcterms:modified xsi:type="dcterms:W3CDTF">2022-06-23T18:13:57Z</dcterms:modified>
</cp:coreProperties>
</file>